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avarro\MGEP Dropbox\Ivan Navarro Aranburu\Iban Navarro\Tesis Doctoral Iban Navarro\Capítulo Estudio Previo\NUevo paiper caso HAIER\Excel con los datos\"/>
    </mc:Choice>
  </mc:AlternateContent>
  <xr:revisionPtr revIDLastSave="0" documentId="13_ncr:1_{5F6A3530-AEE0-49C4-BD82-4FE438825B53}" xr6:coauthVersionLast="47" xr6:coauthVersionMax="47" xr10:uidLastSave="{00000000-0000-0000-0000-000000000000}"/>
  <bookViews>
    <workbookView xWindow="-98" yWindow="-98" windowWidth="20715" windowHeight="13155" xr2:uid="{AFABA5FE-4795-43FC-9B9E-2B164703D02B}"/>
  </bookViews>
  <sheets>
    <sheet name="Hipótesis" sheetId="1" r:id="rId1"/>
    <sheet name="Tiempos" sheetId="2" r:id="rId2"/>
    <sheet name="Volumenes" sheetId="3" r:id="rId3"/>
    <sheet name="PROCESOS Baja" sheetId="4" r:id="rId4"/>
    <sheet name="PROCESOS Alta" sheetId="7" r:id="rId5"/>
    <sheet name="Cuadro Resumen Baja" sheetId="6" r:id="rId6"/>
    <sheet name="Cuadro Resumen Alta" sheetId="8" r:id="rId7"/>
    <sheet name="Hoja1" sheetId="9" r:id="rId8"/>
  </sheets>
  <externalReferences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4" hidden="1">'PROCESOS Alta'!$C$5:$L$26</definedName>
    <definedName name="_xlnm._FilterDatabase" localSheetId="3" hidden="1">'PROCESOS Baja'!$C$5:$L$26</definedName>
    <definedName name="_xlnm._FilterDatabase" localSheetId="2" hidden="1">Volumenes!$B$18:$I$76</definedName>
    <definedName name="actividades" localSheetId="2">#REF!</definedName>
    <definedName name="actividades">#REF!</definedName>
    <definedName name="_xlnm.Print_Area" localSheetId="4">'PROCESOS Alta'!$A$6:$Q$476</definedName>
    <definedName name="_xlnm.Print_Area" localSheetId="3">'PROCESOS Baja'!$A$6:$Q$476</definedName>
    <definedName name="_xlnm.Print_Area" localSheetId="2">Volumenes!$B$1:$F$78</definedName>
    <definedName name="Bins">INDIRECT([1]Workingdata!$J$17)</definedName>
    <definedName name="Data">INDIRECT([1]Workingdata!$J$18)</definedName>
    <definedName name="ParetoCounts">INDIRECT([1]Workingdata!$DQ$17)</definedName>
    <definedName name="ParetoLabels">INDIRECT([1]Workingdata!$DQ$13)</definedName>
    <definedName name="Paretosummdata">INDIRECT([1]Workingdata!$EH$17)</definedName>
    <definedName name="Paretosummlabels">INDIRECT([1]Workingdata!$EH$13)</definedName>
    <definedName name="_xlnm.Print_Titles" localSheetId="2">Volumenes!$77:$77</definedName>
    <definedName name="TSData">INDIRECT([1]Workingdata!$BN$12)</definedName>
    <definedName name="TSDates">INDIRECT([1]Workingdata!$BN$9)</definedName>
    <definedName name="TSMean">INDIRECT([1]Workingdata!$BN$15)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6" i="3" l="1"/>
  <c r="G39" i="3"/>
  <c r="A127" i="8" l="1"/>
  <c r="F212" i="3"/>
  <c r="G601" i="7"/>
  <c r="G600" i="7"/>
  <c r="G599" i="7"/>
  <c r="G598" i="7"/>
  <c r="G594" i="7"/>
  <c r="G593" i="7"/>
  <c r="G592" i="7"/>
  <c r="G591" i="7"/>
  <c r="G590" i="7"/>
  <c r="G589" i="7"/>
  <c r="G585" i="7"/>
  <c r="G584" i="7"/>
  <c r="G583" i="7"/>
  <c r="G582" i="7"/>
  <c r="G581" i="7"/>
  <c r="G580" i="7"/>
  <c r="G574" i="7"/>
  <c r="G570" i="7"/>
  <c r="G568" i="7"/>
  <c r="G567" i="7"/>
  <c r="G566" i="7"/>
  <c r="G562" i="7"/>
  <c r="G558" i="7"/>
  <c r="G557" i="7"/>
  <c r="G556" i="7"/>
  <c r="G555" i="7"/>
  <c r="G554" i="7"/>
  <c r="G553" i="7"/>
  <c r="G535" i="7"/>
  <c r="G534" i="7"/>
  <c r="G533" i="7"/>
  <c r="G532" i="7"/>
  <c r="G531" i="7"/>
  <c r="G530" i="7"/>
  <c r="G508" i="7"/>
  <c r="G507" i="7"/>
  <c r="G506" i="7"/>
  <c r="G505" i="7"/>
  <c r="G504" i="7"/>
  <c r="G503" i="7"/>
  <c r="G502" i="7"/>
  <c r="G501" i="7"/>
  <c r="G500" i="7"/>
  <c r="G496" i="7"/>
  <c r="G495" i="7"/>
  <c r="G494" i="7"/>
  <c r="G493" i="7"/>
  <c r="G489" i="7"/>
  <c r="G488" i="7"/>
  <c r="G487" i="7"/>
  <c r="G486" i="7"/>
  <c r="G475" i="7"/>
  <c r="G474" i="7"/>
  <c r="G473" i="7"/>
  <c r="G472" i="7"/>
  <c r="G471" i="7"/>
  <c r="G470" i="7"/>
  <c r="G469" i="7"/>
  <c r="G468" i="7"/>
  <c r="G467" i="7"/>
  <c r="G466" i="7"/>
  <c r="G462" i="7"/>
  <c r="G461" i="7"/>
  <c r="G460" i="7"/>
  <c r="G459" i="7"/>
  <c r="G458" i="7"/>
  <c r="G457" i="7"/>
  <c r="F215" i="3"/>
  <c r="A64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99" i="8" s="1"/>
  <c r="A49" i="8"/>
  <c r="A48" i="8"/>
  <c r="A47" i="8"/>
  <c r="A46" i="8"/>
  <c r="A45" i="8"/>
  <c r="A44" i="8"/>
  <c r="A43" i="8"/>
  <c r="A98" i="8" s="1"/>
  <c r="F203" i="3"/>
  <c r="G346" i="7"/>
  <c r="G344" i="7"/>
  <c r="G339" i="7"/>
  <c r="G338" i="7"/>
  <c r="G297" i="7"/>
  <c r="G294" i="7"/>
  <c r="G291" i="7"/>
  <c r="G290" i="7"/>
  <c r="G289" i="7"/>
  <c r="G285" i="7"/>
  <c r="G282" i="7"/>
  <c r="G279" i="7"/>
  <c r="G278" i="7"/>
  <c r="G277" i="7"/>
  <c r="G270" i="7"/>
  <c r="G269" i="7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125" i="8" s="1"/>
  <c r="A27" i="8"/>
  <c r="A97" i="8" s="1"/>
  <c r="A26" i="8"/>
  <c r="A96" i="8" s="1"/>
  <c r="F98" i="3"/>
  <c r="G196" i="7"/>
  <c r="G195" i="7"/>
  <c r="G194" i="7"/>
  <c r="G193" i="7"/>
  <c r="G192" i="7"/>
  <c r="G181" i="7"/>
  <c r="G180" i="7"/>
  <c r="G179" i="7"/>
  <c r="A23" i="8"/>
  <c r="A22" i="8"/>
  <c r="A21" i="8"/>
  <c r="A20" i="8"/>
  <c r="A19" i="8"/>
  <c r="A17" i="8"/>
  <c r="A16" i="8"/>
  <c r="A15" i="8"/>
  <c r="G160" i="7"/>
  <c r="G159" i="7"/>
  <c r="G158" i="7"/>
  <c r="G157" i="7"/>
  <c r="G156" i="7"/>
  <c r="G155" i="7"/>
  <c r="A12" i="8"/>
  <c r="A11" i="8"/>
  <c r="A10" i="8"/>
  <c r="A9" i="8"/>
  <c r="A8" i="8"/>
  <c r="A7" i="8"/>
  <c r="F231" i="3"/>
  <c r="G229" i="3"/>
  <c r="G212" i="3"/>
  <c r="G192" i="3"/>
  <c r="G196" i="3" s="1"/>
  <c r="G189" i="3"/>
  <c r="F173" i="3"/>
  <c r="G110" i="7"/>
  <c r="G106" i="7"/>
  <c r="G105" i="7"/>
  <c r="G104" i="7"/>
  <c r="G103" i="7"/>
  <c r="G102" i="7"/>
  <c r="G101" i="7"/>
  <c r="G100" i="7"/>
  <c r="G99" i="7"/>
  <c r="G84" i="7"/>
  <c r="G83" i="7"/>
  <c r="G82" i="7"/>
  <c r="G81" i="7"/>
  <c r="G80" i="7"/>
  <c r="G79" i="7"/>
  <c r="G78" i="7"/>
  <c r="G77" i="7"/>
  <c r="G76" i="7"/>
  <c r="F172" i="3"/>
  <c r="F176" i="3" s="1"/>
  <c r="F174" i="3"/>
  <c r="G25" i="3"/>
  <c r="G95" i="7"/>
  <c r="G94" i="7"/>
  <c r="G93" i="7"/>
  <c r="G92" i="7"/>
  <c r="G91" i="7"/>
  <c r="G90" i="7"/>
  <c r="G89" i="7"/>
  <c r="G88" i="7"/>
  <c r="G72" i="7"/>
  <c r="G69" i="7"/>
  <c r="G67" i="7"/>
  <c r="G66" i="7"/>
  <c r="G65" i="7"/>
  <c r="G64" i="7"/>
  <c r="G62" i="7"/>
  <c r="G60" i="7"/>
  <c r="G59" i="7"/>
  <c r="G58" i="7"/>
  <c r="G56" i="7"/>
  <c r="G54" i="7"/>
  <c r="G52" i="7"/>
  <c r="G51" i="7"/>
  <c r="G47" i="7"/>
  <c r="G46" i="7"/>
  <c r="G43" i="7"/>
  <c r="G41" i="7"/>
  <c r="G39" i="7"/>
  <c r="G37" i="7"/>
  <c r="G35" i="7"/>
  <c r="G28" i="7"/>
  <c r="G26" i="7"/>
  <c r="G25" i="7"/>
  <c r="G24" i="7"/>
  <c r="G22" i="7"/>
  <c r="G13" i="7"/>
  <c r="G12" i="7"/>
  <c r="G11" i="7"/>
  <c r="G10" i="7"/>
  <c r="G9" i="7"/>
  <c r="F171" i="3"/>
  <c r="F164" i="3"/>
  <c r="G167" i="3"/>
  <c r="F163" i="3"/>
  <c r="G155" i="3"/>
  <c r="G154" i="3"/>
  <c r="F152" i="3"/>
  <c r="G143" i="3"/>
  <c r="G141" i="3"/>
  <c r="G131" i="3"/>
  <c r="F124" i="3"/>
  <c r="F123" i="3"/>
  <c r="F122" i="3"/>
  <c r="F121" i="3"/>
  <c r="G87" i="3"/>
  <c r="F76" i="3"/>
  <c r="F75" i="3"/>
  <c r="F74" i="3"/>
  <c r="F66" i="3"/>
  <c r="F63" i="3"/>
  <c r="F62" i="3"/>
  <c r="F50" i="3"/>
  <c r="F49" i="3"/>
  <c r="F46" i="3"/>
  <c r="F43" i="3"/>
  <c r="F42" i="3"/>
  <c r="F39" i="3"/>
  <c r="F68" i="3"/>
  <c r="F89" i="3"/>
  <c r="F88" i="3"/>
  <c r="G79" i="3"/>
  <c r="F61" i="3"/>
  <c r="G57" i="3"/>
  <c r="F57" i="3"/>
  <c r="F34" i="3"/>
  <c r="G6" i="3"/>
  <c r="G22" i="3" s="1"/>
  <c r="G24" i="3" s="1"/>
  <c r="G482" i="7" s="1"/>
  <c r="G5" i="3"/>
  <c r="G21" i="3" s="1"/>
  <c r="F26" i="3"/>
  <c r="F25" i="3"/>
  <c r="F24" i="3"/>
  <c r="G23" i="3"/>
  <c r="F21" i="3"/>
  <c r="G188" i="3" l="1"/>
  <c r="G197" i="3" s="1"/>
  <c r="G187" i="3"/>
  <c r="G159" i="3"/>
  <c r="G190" i="3"/>
  <c r="G194" i="3" s="1"/>
  <c r="G160" i="3"/>
  <c r="G191" i="3"/>
  <c r="G195" i="3" s="1"/>
  <c r="G198" i="3" s="1"/>
  <c r="G165" i="3"/>
  <c r="G200" i="3"/>
  <c r="G479" i="7"/>
  <c r="G166" i="3"/>
  <c r="G201" i="3"/>
  <c r="G480" i="7"/>
  <c r="G204" i="3"/>
  <c r="G481" i="7"/>
  <c r="G215" i="3"/>
  <c r="G186" i="3"/>
  <c r="A126" i="8"/>
  <c r="G8" i="3"/>
  <c r="G411" i="7" l="1"/>
  <c r="G410" i="7"/>
  <c r="G409" i="7"/>
  <c r="G415" i="7"/>
  <c r="G414" i="7"/>
  <c r="G413" i="7"/>
  <c r="G412" i="7"/>
  <c r="G330" i="7"/>
  <c r="G329" i="7"/>
  <c r="G216" i="3"/>
  <c r="G515" i="7"/>
  <c r="G514" i="7"/>
  <c r="G513" i="7"/>
  <c r="G512" i="7"/>
  <c r="G312" i="7"/>
  <c r="G311" i="7"/>
  <c r="G162" i="3"/>
  <c r="G164" i="3"/>
  <c r="G203" i="3"/>
  <c r="G432" i="7"/>
  <c r="G428" i="7"/>
  <c r="G427" i="7"/>
  <c r="G426" i="7"/>
  <c r="G435" i="7"/>
  <c r="G433" i="7"/>
  <c r="G436" i="7"/>
  <c r="G434" i="7"/>
  <c r="G147" i="3"/>
  <c r="G85" i="3"/>
  <c r="G35" i="3"/>
  <c r="G146" i="3"/>
  <c r="G83" i="3"/>
  <c r="J28" i="3"/>
  <c r="G66" i="3"/>
  <c r="G52" i="3"/>
  <c r="G139" i="3"/>
  <c r="G47" i="3"/>
  <c r="G67" i="3"/>
  <c r="G53" i="3"/>
  <c r="G93" i="3"/>
  <c r="G69" i="3"/>
  <c r="G63" i="7" s="1"/>
  <c r="G55" i="3"/>
  <c r="G138" i="3"/>
  <c r="G94" i="3"/>
  <c r="G68" i="3"/>
  <c r="G54" i="3"/>
  <c r="G51" i="3"/>
  <c r="G86" i="3"/>
  <c r="G40" i="3"/>
  <c r="G92" i="3"/>
  <c r="G70" i="3"/>
  <c r="G38" i="7" s="1"/>
  <c r="G56" i="3"/>
  <c r="G170" i="3"/>
  <c r="G37" i="3"/>
  <c r="G89" i="3"/>
  <c r="G38" i="3"/>
  <c r="G71" i="3"/>
  <c r="G72" i="3"/>
  <c r="G40" i="7" s="1"/>
  <c r="G169" i="3"/>
  <c r="G73" i="3"/>
  <c r="G48" i="3"/>
  <c r="G34" i="3"/>
  <c r="G161" i="3"/>
  <c r="G163" i="3"/>
  <c r="G405" i="7"/>
  <c r="G404" i="7"/>
  <c r="G403" i="7"/>
  <c r="G402" i="7"/>
  <c r="G401" i="7"/>
  <c r="G399" i="7"/>
  <c r="G400" i="7"/>
  <c r="G32" i="3"/>
  <c r="G31" i="3"/>
  <c r="G153" i="3" l="1"/>
  <c r="G321" i="7"/>
  <c r="G332" i="7"/>
  <c r="G320" i="7"/>
  <c r="G449" i="7"/>
  <c r="G327" i="7"/>
  <c r="G453" i="7"/>
  <c r="G325" i="7"/>
  <c r="G319" i="7"/>
  <c r="G50" i="3"/>
  <c r="G96" i="3" s="1"/>
  <c r="G117" i="3" s="1"/>
  <c r="G132" i="3"/>
  <c r="G65" i="3"/>
  <c r="G49" i="3"/>
  <c r="G27" i="7"/>
  <c r="G42" i="7"/>
  <c r="G614" i="7"/>
  <c r="G613" i="7"/>
  <c r="G616" i="7"/>
  <c r="G615" i="7"/>
  <c r="G36" i="7"/>
  <c r="G29" i="7"/>
  <c r="G97" i="3"/>
  <c r="G180" i="3"/>
  <c r="G118" i="3"/>
  <c r="G16" i="7"/>
  <c r="G15" i="7"/>
  <c r="G14" i="7"/>
  <c r="G23" i="7"/>
  <c r="G42" i="3"/>
  <c r="G171" i="3" s="1"/>
  <c r="G376" i="7"/>
  <c r="G43" i="3"/>
  <c r="G75" i="3"/>
  <c r="G74" i="3"/>
  <c r="G55" i="7"/>
  <c r="G61" i="7"/>
  <c r="G53" i="7"/>
  <c r="G57" i="7"/>
  <c r="G215" i="7"/>
  <c r="G214" i="7"/>
  <c r="G212" i="7"/>
  <c r="G211" i="7"/>
  <c r="G210" i="7"/>
  <c r="G216" i="7"/>
  <c r="G213" i="7"/>
  <c r="G381" i="7"/>
  <c r="G380" i="7"/>
  <c r="G379" i="7"/>
  <c r="G378" i="7"/>
  <c r="G377" i="7"/>
  <c r="G386" i="7"/>
  <c r="G383" i="7"/>
  <c r="G382" i="7"/>
  <c r="G385" i="7"/>
  <c r="G384" i="7"/>
  <c r="G296" i="7"/>
  <c r="G293" i="7"/>
  <c r="G295" i="7"/>
  <c r="G292" i="7"/>
  <c r="G523" i="7"/>
  <c r="G522" i="7"/>
  <c r="G521" i="7"/>
  <c r="G517" i="7"/>
  <c r="G516" i="7"/>
  <c r="G526" i="7"/>
  <c r="G525" i="7"/>
  <c r="G524" i="7"/>
  <c r="G284" i="7"/>
  <c r="G283" i="7"/>
  <c r="G281" i="7"/>
  <c r="G280" i="7"/>
  <c r="G422" i="7"/>
  <c r="G421" i="7"/>
  <c r="G420" i="7"/>
  <c r="G419" i="7"/>
  <c r="G333" i="7"/>
  <c r="G328" i="7"/>
  <c r="G326" i="7"/>
  <c r="G324" i="7"/>
  <c r="G331" i="7"/>
  <c r="G323" i="7"/>
  <c r="G322" i="7"/>
  <c r="G306" i="7"/>
  <c r="G305" i="7"/>
  <c r="G304" i="7"/>
  <c r="G315" i="7"/>
  <c r="G313" i="7"/>
  <c r="G310" i="7"/>
  <c r="G308" i="7"/>
  <c r="G445" i="7"/>
  <c r="G303" i="7"/>
  <c r="G314" i="7"/>
  <c r="G302" i="7"/>
  <c r="G307" i="7"/>
  <c r="G301" i="7"/>
  <c r="G152" i="3"/>
  <c r="G441" i="7"/>
  <c r="G309" i="7"/>
  <c r="G112" i="7"/>
  <c r="G181" i="3"/>
  <c r="G113" i="7"/>
  <c r="G117" i="7"/>
  <c r="G114" i="7"/>
  <c r="G116" i="7"/>
  <c r="G115" i="7"/>
  <c r="G231" i="3"/>
  <c r="G111" i="7" s="1"/>
  <c r="G45" i="7"/>
  <c r="G44" i="7"/>
  <c r="G549" i="7"/>
  <c r="G547" i="7"/>
  <c r="G548" i="7"/>
  <c r="G41" i="3"/>
  <c r="B152" i="8"/>
  <c r="A152" i="8"/>
  <c r="E150" i="8"/>
  <c r="C150" i="8"/>
  <c r="B154" i="8" s="1"/>
  <c r="A149" i="8"/>
  <c r="A148" i="8"/>
  <c r="A143" i="8"/>
  <c r="A139" i="8"/>
  <c r="A138" i="8"/>
  <c r="A137" i="8"/>
  <c r="G134" i="8"/>
  <c r="G154" i="8" s="1"/>
  <c r="G160" i="8" s="1"/>
  <c r="A132" i="8"/>
  <c r="E129" i="8"/>
  <c r="A124" i="8"/>
  <c r="A123" i="8"/>
  <c r="A121" i="8"/>
  <c r="A120" i="8"/>
  <c r="A118" i="8"/>
  <c r="A112" i="8"/>
  <c r="A111" i="8"/>
  <c r="A109" i="8"/>
  <c r="A105" i="8"/>
  <c r="A104" i="8"/>
  <c r="E100" i="8"/>
  <c r="A92" i="8"/>
  <c r="A91" i="8"/>
  <c r="A89" i="8"/>
  <c r="I86" i="8"/>
  <c r="I93" i="8" s="1"/>
  <c r="I154" i="8" s="1"/>
  <c r="I160" i="8" s="1"/>
  <c r="A86" i="8"/>
  <c r="A78" i="8"/>
  <c r="A77" i="8"/>
  <c r="A75" i="8"/>
  <c r="A74" i="8"/>
  <c r="F73" i="8"/>
  <c r="F79" i="8" s="1"/>
  <c r="E73" i="8"/>
  <c r="E79" i="8" s="1"/>
  <c r="A73" i="8"/>
  <c r="R66" i="8"/>
  <c r="O66" i="8"/>
  <c r="H109" i="8" s="1"/>
  <c r="H113" i="8" s="1"/>
  <c r="H154" i="8" s="1"/>
  <c r="H160" i="8" s="1"/>
  <c r="L66" i="8"/>
  <c r="F66" i="8"/>
  <c r="C66" i="8"/>
  <c r="A122" i="8"/>
  <c r="A147" i="8"/>
  <c r="A146" i="8"/>
  <c r="A145" i="8"/>
  <c r="A144" i="8"/>
  <c r="A103" i="8"/>
  <c r="A110" i="8"/>
  <c r="A142" i="8"/>
  <c r="A128" i="8"/>
  <c r="A141" i="8"/>
  <c r="A140" i="8"/>
  <c r="A119" i="8"/>
  <c r="A117" i="8"/>
  <c r="A133" i="8"/>
  <c r="K31" i="8"/>
  <c r="K30" i="8"/>
  <c r="A25" i="8"/>
  <c r="A90" i="8"/>
  <c r="A18" i="8"/>
  <c r="A88" i="8"/>
  <c r="A87" i="8"/>
  <c r="A14" i="8"/>
  <c r="I13" i="8"/>
  <c r="F82" i="8" s="1"/>
  <c r="F83" i="8" s="1"/>
  <c r="A13" i="8"/>
  <c r="A76" i="8"/>
  <c r="A6" i="8"/>
  <c r="I711" i="7"/>
  <c r="J711" i="7" s="1"/>
  <c r="I710" i="7"/>
  <c r="J710" i="7" s="1"/>
  <c r="F709" i="7"/>
  <c r="I708" i="7"/>
  <c r="J708" i="7" s="1"/>
  <c r="J707" i="7"/>
  <c r="I707" i="7"/>
  <c r="I706" i="7"/>
  <c r="J706" i="7" s="1"/>
  <c r="J705" i="7"/>
  <c r="I705" i="7"/>
  <c r="I704" i="7"/>
  <c r="J704" i="7" s="1"/>
  <c r="I703" i="7"/>
  <c r="J703" i="7" s="1"/>
  <c r="J702" i="7"/>
  <c r="F702" i="7"/>
  <c r="G702" i="7" s="1"/>
  <c r="K702" i="7" s="1"/>
  <c r="I701" i="7"/>
  <c r="J701" i="7" s="1"/>
  <c r="I700" i="7"/>
  <c r="J700" i="7" s="1"/>
  <c r="J698" i="7"/>
  <c r="I698" i="7"/>
  <c r="I697" i="7"/>
  <c r="J697" i="7" s="1"/>
  <c r="F697" i="7"/>
  <c r="F698" i="7" s="1"/>
  <c r="G698" i="7" s="1"/>
  <c r="K698" i="7" s="1"/>
  <c r="M698" i="7" s="1"/>
  <c r="Q693" i="7"/>
  <c r="P693" i="7"/>
  <c r="O693" i="7"/>
  <c r="N693" i="7"/>
  <c r="I692" i="7"/>
  <c r="J692" i="7" s="1"/>
  <c r="I691" i="7"/>
  <c r="J691" i="7" s="1"/>
  <c r="J690" i="7"/>
  <c r="I690" i="7"/>
  <c r="I689" i="7"/>
  <c r="J689" i="7" s="1"/>
  <c r="J688" i="7"/>
  <c r="I688" i="7"/>
  <c r="I687" i="7"/>
  <c r="J687" i="7" s="1"/>
  <c r="F687" i="7"/>
  <c r="I686" i="7"/>
  <c r="J686" i="7" s="1"/>
  <c r="I685" i="7"/>
  <c r="J685" i="7" s="1"/>
  <c r="J684" i="7"/>
  <c r="I684" i="7"/>
  <c r="J683" i="7"/>
  <c r="I683" i="7"/>
  <c r="I682" i="7"/>
  <c r="J682" i="7" s="1"/>
  <c r="F682" i="7"/>
  <c r="G682" i="7" s="1"/>
  <c r="I678" i="7"/>
  <c r="J678" i="7" s="1"/>
  <c r="I677" i="7"/>
  <c r="J677" i="7" s="1"/>
  <c r="I676" i="7"/>
  <c r="J676" i="7" s="1"/>
  <c r="J675" i="7"/>
  <c r="I675" i="7"/>
  <c r="F675" i="7"/>
  <c r="G675" i="7" s="1"/>
  <c r="K675" i="7" s="1"/>
  <c r="Q672" i="7"/>
  <c r="P672" i="7"/>
  <c r="O672" i="7"/>
  <c r="N672" i="7"/>
  <c r="J671" i="7"/>
  <c r="I671" i="7"/>
  <c r="I670" i="7"/>
  <c r="J670" i="7" s="1"/>
  <c r="I669" i="7"/>
  <c r="J669" i="7" s="1"/>
  <c r="J668" i="7"/>
  <c r="I668" i="7"/>
  <c r="I667" i="7"/>
  <c r="J667" i="7" s="1"/>
  <c r="F667" i="7"/>
  <c r="J666" i="7"/>
  <c r="I666" i="7"/>
  <c r="F666" i="7"/>
  <c r="G666" i="7" s="1"/>
  <c r="K666" i="7" s="1"/>
  <c r="M666" i="7" s="1"/>
  <c r="I665" i="7"/>
  <c r="J665" i="7" s="1"/>
  <c r="I664" i="7"/>
  <c r="J664" i="7" s="1"/>
  <c r="I663" i="7"/>
  <c r="J663" i="7" s="1"/>
  <c r="J662" i="7"/>
  <c r="I662" i="7"/>
  <c r="F662" i="7"/>
  <c r="G662" i="7" s="1"/>
  <c r="J661" i="7"/>
  <c r="I661" i="7"/>
  <c r="F661" i="7"/>
  <c r="G661" i="7" s="1"/>
  <c r="J656" i="7"/>
  <c r="I656" i="7"/>
  <c r="J655" i="7"/>
  <c r="I655" i="7"/>
  <c r="I654" i="7"/>
  <c r="J654" i="7" s="1"/>
  <c r="I652" i="7"/>
  <c r="J652" i="7" s="1"/>
  <c r="J651" i="7"/>
  <c r="I651" i="7"/>
  <c r="J649" i="7"/>
  <c r="I649" i="7"/>
  <c r="F648" i="7"/>
  <c r="J644" i="7"/>
  <c r="G644" i="7"/>
  <c r="K644" i="7" s="1"/>
  <c r="M644" i="7" s="1"/>
  <c r="F644" i="7"/>
  <c r="I643" i="7"/>
  <c r="J643" i="7" s="1"/>
  <c r="J642" i="7"/>
  <c r="I642" i="7"/>
  <c r="I641" i="7"/>
  <c r="J641" i="7" s="1"/>
  <c r="I640" i="7"/>
  <c r="J640" i="7" s="1"/>
  <c r="F640" i="7"/>
  <c r="Q639" i="7"/>
  <c r="P639" i="7"/>
  <c r="N639" i="7"/>
  <c r="J639" i="7"/>
  <c r="I639" i="7"/>
  <c r="F639" i="7"/>
  <c r="G639" i="7" s="1"/>
  <c r="J636" i="7"/>
  <c r="I636" i="7"/>
  <c r="G636" i="7"/>
  <c r="I635" i="7"/>
  <c r="J635" i="7" s="1"/>
  <c r="G635" i="7"/>
  <c r="H634" i="7"/>
  <c r="I634" i="7" s="1"/>
  <c r="J634" i="7" s="1"/>
  <c r="G634" i="7"/>
  <c r="J633" i="7"/>
  <c r="I633" i="7"/>
  <c r="G633" i="7"/>
  <c r="H632" i="7"/>
  <c r="I632" i="7" s="1"/>
  <c r="J632" i="7" s="1"/>
  <c r="G632" i="7"/>
  <c r="J631" i="7"/>
  <c r="I631" i="7"/>
  <c r="G631" i="7"/>
  <c r="K631" i="7" s="1"/>
  <c r="I630" i="7"/>
  <c r="J630" i="7" s="1"/>
  <c r="G630" i="7"/>
  <c r="I629" i="7"/>
  <c r="J629" i="7" s="1"/>
  <c r="H629" i="7"/>
  <c r="G629" i="7"/>
  <c r="J628" i="7"/>
  <c r="I628" i="7"/>
  <c r="G628" i="7"/>
  <c r="K628" i="7" s="1"/>
  <c r="M628" i="7" s="1"/>
  <c r="I627" i="7"/>
  <c r="J627" i="7" s="1"/>
  <c r="H627" i="7"/>
  <c r="G627" i="7"/>
  <c r="I626" i="7"/>
  <c r="J626" i="7" s="1"/>
  <c r="G626" i="7"/>
  <c r="K626" i="7" s="1"/>
  <c r="I625" i="7"/>
  <c r="J625" i="7" s="1"/>
  <c r="G625" i="7"/>
  <c r="I624" i="7"/>
  <c r="J624" i="7" s="1"/>
  <c r="G624" i="7"/>
  <c r="I623" i="7"/>
  <c r="J623" i="7" s="1"/>
  <c r="G623" i="7"/>
  <c r="I622" i="7"/>
  <c r="J622" i="7" s="1"/>
  <c r="H622" i="7"/>
  <c r="G622" i="7"/>
  <c r="H616" i="7"/>
  <c r="I616" i="7" s="1"/>
  <c r="J616" i="7" s="1"/>
  <c r="I615" i="7"/>
  <c r="J615" i="7" s="1"/>
  <c r="I614" i="7"/>
  <c r="J614" i="7" s="1"/>
  <c r="H614" i="7"/>
  <c r="I613" i="7"/>
  <c r="J613" i="7" s="1"/>
  <c r="F613" i="7"/>
  <c r="F614" i="7" s="1"/>
  <c r="I609" i="7"/>
  <c r="J609" i="7" s="1"/>
  <c r="H609" i="7"/>
  <c r="J608" i="7"/>
  <c r="I608" i="7"/>
  <c r="J607" i="7"/>
  <c r="I607" i="7"/>
  <c r="H607" i="7"/>
  <c r="J606" i="7"/>
  <c r="J605" i="7"/>
  <c r="F605" i="7"/>
  <c r="F606" i="7" s="1"/>
  <c r="I601" i="7"/>
  <c r="J601" i="7" s="1"/>
  <c r="F601" i="7"/>
  <c r="J600" i="7"/>
  <c r="I600" i="7"/>
  <c r="F600" i="7"/>
  <c r="J599" i="7"/>
  <c r="I599" i="7"/>
  <c r="F599" i="7"/>
  <c r="K599" i="7" s="1"/>
  <c r="I598" i="7"/>
  <c r="J598" i="7" s="1"/>
  <c r="F598" i="7"/>
  <c r="I594" i="7"/>
  <c r="J594" i="7" s="1"/>
  <c r="I593" i="7"/>
  <c r="J593" i="7" s="1"/>
  <c r="I592" i="7"/>
  <c r="J592" i="7" s="1"/>
  <c r="J591" i="7"/>
  <c r="I591" i="7"/>
  <c r="J590" i="7"/>
  <c r="I590" i="7"/>
  <c r="F590" i="7"/>
  <c r="F591" i="7" s="1"/>
  <c r="J589" i="7"/>
  <c r="I589" i="7"/>
  <c r="F589" i="7"/>
  <c r="J585" i="7"/>
  <c r="I585" i="7"/>
  <c r="I584" i="7"/>
  <c r="J584" i="7" s="1"/>
  <c r="F584" i="7"/>
  <c r="J583" i="7"/>
  <c r="I583" i="7"/>
  <c r="F583" i="7"/>
  <c r="K583" i="7" s="1"/>
  <c r="I582" i="7"/>
  <c r="J582" i="7" s="1"/>
  <c r="I581" i="7"/>
  <c r="J581" i="7" s="1"/>
  <c r="I580" i="7"/>
  <c r="J580" i="7" s="1"/>
  <c r="F580" i="7"/>
  <c r="J576" i="7"/>
  <c r="I576" i="7"/>
  <c r="F576" i="7"/>
  <c r="J575" i="7"/>
  <c r="I575" i="7"/>
  <c r="F575" i="7"/>
  <c r="I574" i="7"/>
  <c r="J574" i="7" s="1"/>
  <c r="F574" i="7"/>
  <c r="J573" i="7"/>
  <c r="I573" i="7"/>
  <c r="I572" i="7"/>
  <c r="J572" i="7" s="1"/>
  <c r="J571" i="7"/>
  <c r="I571" i="7"/>
  <c r="F571" i="7"/>
  <c r="J570" i="7"/>
  <c r="I570" i="7"/>
  <c r="F570" i="7"/>
  <c r="J569" i="7"/>
  <c r="I569" i="7"/>
  <c r="F569" i="7"/>
  <c r="I568" i="7"/>
  <c r="J568" i="7" s="1"/>
  <c r="J567" i="7"/>
  <c r="F567" i="7"/>
  <c r="K567" i="7" s="1"/>
  <c r="J566" i="7"/>
  <c r="I566" i="7"/>
  <c r="F566" i="7"/>
  <c r="F568" i="7" s="1"/>
  <c r="I565" i="7"/>
  <c r="J565" i="7" s="1"/>
  <c r="I563" i="7"/>
  <c r="J563" i="7" s="1"/>
  <c r="F563" i="7"/>
  <c r="I562" i="7"/>
  <c r="J562" i="7" s="1"/>
  <c r="F562" i="7"/>
  <c r="I558" i="7"/>
  <c r="J558" i="7" s="1"/>
  <c r="J557" i="7"/>
  <c r="I556" i="7"/>
  <c r="J556" i="7" s="1"/>
  <c r="I555" i="7"/>
  <c r="J555" i="7" s="1"/>
  <c r="J554" i="7"/>
  <c r="J553" i="7"/>
  <c r="I553" i="7"/>
  <c r="F553" i="7"/>
  <c r="F554" i="7" s="1"/>
  <c r="J549" i="7"/>
  <c r="I549" i="7"/>
  <c r="I548" i="7"/>
  <c r="J548" i="7" s="1"/>
  <c r="I547" i="7"/>
  <c r="J547" i="7" s="1"/>
  <c r="F547" i="7"/>
  <c r="I543" i="7"/>
  <c r="J543" i="7" s="1"/>
  <c r="I542" i="7"/>
  <c r="J542" i="7" s="1"/>
  <c r="I541" i="7"/>
  <c r="J541" i="7" s="1"/>
  <c r="J540" i="7"/>
  <c r="I540" i="7"/>
  <c r="F540" i="7"/>
  <c r="J539" i="7"/>
  <c r="I539" i="7"/>
  <c r="F539" i="7"/>
  <c r="F541" i="7" s="1"/>
  <c r="F542" i="7" s="1"/>
  <c r="F543" i="7" s="1"/>
  <c r="I535" i="7"/>
  <c r="J535" i="7" s="1"/>
  <c r="J533" i="7"/>
  <c r="I533" i="7"/>
  <c r="F533" i="7"/>
  <c r="F534" i="7" s="1"/>
  <c r="I532" i="7"/>
  <c r="J532" i="7" s="1"/>
  <c r="F531" i="7"/>
  <c r="J530" i="7"/>
  <c r="I530" i="7"/>
  <c r="F530" i="7"/>
  <c r="I526" i="7"/>
  <c r="J526" i="7" s="1"/>
  <c r="J524" i="7"/>
  <c r="I524" i="7"/>
  <c r="I523" i="7"/>
  <c r="J523" i="7" s="1"/>
  <c r="J522" i="7"/>
  <c r="I522" i="7"/>
  <c r="F521" i="7"/>
  <c r="J517" i="7"/>
  <c r="I517" i="7"/>
  <c r="F517" i="7"/>
  <c r="I516" i="7"/>
  <c r="J516" i="7" s="1"/>
  <c r="F516" i="7"/>
  <c r="I515" i="7"/>
  <c r="J515" i="7" s="1"/>
  <c r="F515" i="7"/>
  <c r="I514" i="7"/>
  <c r="J514" i="7" s="1"/>
  <c r="I513" i="7"/>
  <c r="J513" i="7" s="1"/>
  <c r="F513" i="7"/>
  <c r="I512" i="7"/>
  <c r="J512" i="7" s="1"/>
  <c r="F512" i="7"/>
  <c r="J508" i="7"/>
  <c r="I508" i="7"/>
  <c r="I507" i="7"/>
  <c r="J507" i="7" s="1"/>
  <c r="I506" i="7"/>
  <c r="J506" i="7" s="1"/>
  <c r="I505" i="7"/>
  <c r="J505" i="7" s="1"/>
  <c r="J504" i="7"/>
  <c r="I504" i="7"/>
  <c r="I503" i="7"/>
  <c r="J503" i="7" s="1"/>
  <c r="J502" i="7"/>
  <c r="I502" i="7"/>
  <c r="J501" i="7"/>
  <c r="I501" i="7"/>
  <c r="F501" i="7"/>
  <c r="I500" i="7"/>
  <c r="J500" i="7" s="1"/>
  <c r="F500" i="7"/>
  <c r="F502" i="7" s="1"/>
  <c r="I496" i="7"/>
  <c r="J496" i="7" s="1"/>
  <c r="J494" i="7"/>
  <c r="I494" i="7"/>
  <c r="F494" i="7"/>
  <c r="F495" i="7" s="1"/>
  <c r="I493" i="7"/>
  <c r="J493" i="7" s="1"/>
  <c r="F493" i="7"/>
  <c r="I489" i="7"/>
  <c r="J489" i="7" s="1"/>
  <c r="I488" i="7"/>
  <c r="J488" i="7" s="1"/>
  <c r="J487" i="7"/>
  <c r="I487" i="7"/>
  <c r="I486" i="7"/>
  <c r="J486" i="7" s="1"/>
  <c r="F486" i="7"/>
  <c r="F487" i="7" s="1"/>
  <c r="F488" i="7" s="1"/>
  <c r="J482" i="7"/>
  <c r="I482" i="7"/>
  <c r="J480" i="7"/>
  <c r="I480" i="7"/>
  <c r="J479" i="7"/>
  <c r="I479" i="7"/>
  <c r="F479" i="7"/>
  <c r="J475" i="7"/>
  <c r="I475" i="7"/>
  <c r="J474" i="7"/>
  <c r="I472" i="7"/>
  <c r="J472" i="7" s="1"/>
  <c r="I471" i="7"/>
  <c r="J471" i="7" s="1"/>
  <c r="F471" i="7"/>
  <c r="K471" i="7" s="1"/>
  <c r="L471" i="7" s="1"/>
  <c r="J470" i="7"/>
  <c r="I470" i="7"/>
  <c r="I469" i="7"/>
  <c r="J469" i="7" s="1"/>
  <c r="J467" i="7"/>
  <c r="I467" i="7"/>
  <c r="I466" i="7"/>
  <c r="J466" i="7" s="1"/>
  <c r="F466" i="7"/>
  <c r="J462" i="7"/>
  <c r="I462" i="7"/>
  <c r="I461" i="7"/>
  <c r="J461" i="7" s="1"/>
  <c r="F461" i="7"/>
  <c r="J460" i="7"/>
  <c r="I460" i="7"/>
  <c r="F460" i="7"/>
  <c r="F459" i="7"/>
  <c r="I458" i="7"/>
  <c r="J458" i="7" s="1"/>
  <c r="F458" i="7"/>
  <c r="F462" i="7" s="1"/>
  <c r="I457" i="7"/>
  <c r="J457" i="7" s="1"/>
  <c r="F457" i="7"/>
  <c r="J453" i="7"/>
  <c r="I453" i="7"/>
  <c r="F453" i="7"/>
  <c r="J452" i="7"/>
  <c r="I452" i="7"/>
  <c r="J451" i="7"/>
  <c r="I451" i="7"/>
  <c r="I450" i="7"/>
  <c r="J450" i="7" s="1"/>
  <c r="F450" i="7"/>
  <c r="J449" i="7"/>
  <c r="I449" i="7"/>
  <c r="F449" i="7"/>
  <c r="J445" i="7"/>
  <c r="I445" i="7"/>
  <c r="I444" i="7"/>
  <c r="J444" i="7" s="1"/>
  <c r="J443" i="7"/>
  <c r="I443" i="7"/>
  <c r="F443" i="7"/>
  <c r="F444" i="7" s="1"/>
  <c r="J442" i="7"/>
  <c r="I442" i="7"/>
  <c r="F442" i="7"/>
  <c r="J441" i="7"/>
  <c r="I441" i="7"/>
  <c r="F441" i="7"/>
  <c r="K441" i="7" s="1"/>
  <c r="L441" i="7" s="1"/>
  <c r="Q437" i="7"/>
  <c r="P437" i="7"/>
  <c r="N437" i="7"/>
  <c r="J436" i="7"/>
  <c r="I436" i="7"/>
  <c r="I434" i="7"/>
  <c r="J434" i="7" s="1"/>
  <c r="J433" i="7"/>
  <c r="I433" i="7"/>
  <c r="J432" i="7"/>
  <c r="I432" i="7"/>
  <c r="F432" i="7"/>
  <c r="F433" i="7" s="1"/>
  <c r="F434" i="7" s="1"/>
  <c r="Q429" i="7"/>
  <c r="P429" i="7"/>
  <c r="N429" i="7"/>
  <c r="J428" i="7"/>
  <c r="I428" i="7"/>
  <c r="J426" i="7"/>
  <c r="I426" i="7"/>
  <c r="F426" i="7"/>
  <c r="Q423" i="7"/>
  <c r="P423" i="7"/>
  <c r="N423" i="7"/>
  <c r="J422" i="7"/>
  <c r="I422" i="7"/>
  <c r="I421" i="7"/>
  <c r="J421" i="7" s="1"/>
  <c r="J419" i="7"/>
  <c r="I419" i="7"/>
  <c r="F419" i="7"/>
  <c r="F420" i="7" s="1"/>
  <c r="Q416" i="7"/>
  <c r="P416" i="7"/>
  <c r="N416" i="7"/>
  <c r="I415" i="7"/>
  <c r="J415" i="7" s="1"/>
  <c r="I414" i="7"/>
  <c r="J414" i="7" s="1"/>
  <c r="J413" i="7"/>
  <c r="I413" i="7"/>
  <c r="I412" i="7"/>
  <c r="J412" i="7" s="1"/>
  <c r="J411" i="7"/>
  <c r="F410" i="7"/>
  <c r="F411" i="7" s="1"/>
  <c r="J409" i="7"/>
  <c r="I409" i="7"/>
  <c r="F409" i="7"/>
  <c r="Q406" i="7"/>
  <c r="P406" i="7"/>
  <c r="N406" i="7"/>
  <c r="J405" i="7"/>
  <c r="I405" i="7"/>
  <c r="J404" i="7"/>
  <c r="I404" i="7"/>
  <c r="J403" i="7"/>
  <c r="I403" i="7"/>
  <c r="J402" i="7"/>
  <c r="I402" i="7"/>
  <c r="I401" i="7"/>
  <c r="J401" i="7" s="1"/>
  <c r="J399" i="7"/>
  <c r="I399" i="7"/>
  <c r="F399" i="7"/>
  <c r="K399" i="7" s="1"/>
  <c r="M399" i="7" s="1"/>
  <c r="J394" i="7"/>
  <c r="I394" i="7"/>
  <c r="J392" i="7"/>
  <c r="I392" i="7"/>
  <c r="J391" i="7"/>
  <c r="I391" i="7"/>
  <c r="I389" i="7"/>
  <c r="J389" i="7" s="1"/>
  <c r="H388" i="7"/>
  <c r="H390" i="7" s="1"/>
  <c r="H393" i="7" s="1"/>
  <c r="H395" i="7" s="1"/>
  <c r="I387" i="7"/>
  <c r="J387" i="7" s="1"/>
  <c r="F387" i="7"/>
  <c r="J386" i="7"/>
  <c r="I386" i="7"/>
  <c r="J385" i="7"/>
  <c r="I385" i="7"/>
  <c r="J384" i="7"/>
  <c r="I384" i="7"/>
  <c r="I383" i="7"/>
  <c r="J383" i="7" s="1"/>
  <c r="J382" i="7"/>
  <c r="I382" i="7"/>
  <c r="I381" i="7"/>
  <c r="J381" i="7" s="1"/>
  <c r="J380" i="7"/>
  <c r="I380" i="7"/>
  <c r="H380" i="7"/>
  <c r="H386" i="7" s="1"/>
  <c r="J379" i="7"/>
  <c r="I379" i="7"/>
  <c r="J378" i="7"/>
  <c r="I378" i="7"/>
  <c r="I377" i="7"/>
  <c r="J377" i="7" s="1"/>
  <c r="F377" i="7"/>
  <c r="F378" i="7" s="1"/>
  <c r="I376" i="7"/>
  <c r="J376" i="7" s="1"/>
  <c r="F376" i="7"/>
  <c r="Q373" i="7"/>
  <c r="P373" i="7"/>
  <c r="N373" i="7"/>
  <c r="I372" i="7"/>
  <c r="J372" i="7" s="1"/>
  <c r="J371" i="7"/>
  <c r="I371" i="7"/>
  <c r="I370" i="7"/>
  <c r="J370" i="7" s="1"/>
  <c r="I369" i="7"/>
  <c r="J369" i="7" s="1"/>
  <c r="I368" i="7"/>
  <c r="J368" i="7" s="1"/>
  <c r="F368" i="7"/>
  <c r="J367" i="7"/>
  <c r="I367" i="7"/>
  <c r="J366" i="7"/>
  <c r="I366" i="7"/>
  <c r="F366" i="7"/>
  <c r="F367" i="7" s="1"/>
  <c r="J365" i="7"/>
  <c r="I365" i="7"/>
  <c r="J364" i="7"/>
  <c r="I364" i="7"/>
  <c r="F364" i="7"/>
  <c r="F365" i="7" s="1"/>
  <c r="J363" i="7"/>
  <c r="I363" i="7"/>
  <c r="Q360" i="7"/>
  <c r="P360" i="7"/>
  <c r="N360" i="7"/>
  <c r="I359" i="7"/>
  <c r="J359" i="7" s="1"/>
  <c r="I358" i="7"/>
  <c r="J358" i="7" s="1"/>
  <c r="J357" i="7"/>
  <c r="I357" i="7"/>
  <c r="J356" i="7"/>
  <c r="I356" i="7"/>
  <c r="J355" i="7"/>
  <c r="I355" i="7"/>
  <c r="I354" i="7"/>
  <c r="J354" i="7" s="1"/>
  <c r="I353" i="7"/>
  <c r="J353" i="7" s="1"/>
  <c r="I352" i="7"/>
  <c r="J352" i="7" s="1"/>
  <c r="F352" i="7"/>
  <c r="F353" i="7" s="1"/>
  <c r="J351" i="7"/>
  <c r="I351" i="7"/>
  <c r="F351" i="7"/>
  <c r="I350" i="7"/>
  <c r="J350" i="7" s="1"/>
  <c r="Q347" i="7"/>
  <c r="P347" i="7"/>
  <c r="N347" i="7"/>
  <c r="J346" i="7"/>
  <c r="I346" i="7"/>
  <c r="J345" i="7"/>
  <c r="I345" i="7"/>
  <c r="J343" i="7"/>
  <c r="I343" i="7"/>
  <c r="J342" i="7"/>
  <c r="I342" i="7"/>
  <c r="J341" i="7"/>
  <c r="I341" i="7"/>
  <c r="J340" i="7"/>
  <c r="I340" i="7"/>
  <c r="F340" i="7"/>
  <c r="I338" i="7"/>
  <c r="J338" i="7" s="1"/>
  <c r="I337" i="7"/>
  <c r="J337" i="7" s="1"/>
  <c r="Q334" i="7"/>
  <c r="N334" i="7"/>
  <c r="M334" i="7"/>
  <c r="I333" i="7"/>
  <c r="J333" i="7" s="1"/>
  <c r="J332" i="7"/>
  <c r="I332" i="7"/>
  <c r="J331" i="7"/>
  <c r="I331" i="7"/>
  <c r="J330" i="7"/>
  <c r="I330" i="7"/>
  <c r="I329" i="7"/>
  <c r="J329" i="7" s="1"/>
  <c r="F329" i="7"/>
  <c r="F330" i="7" s="1"/>
  <c r="K330" i="7" s="1"/>
  <c r="J328" i="7"/>
  <c r="I328" i="7"/>
  <c r="I327" i="7"/>
  <c r="J327" i="7" s="1"/>
  <c r="J326" i="7"/>
  <c r="I326" i="7"/>
  <c r="I325" i="7"/>
  <c r="J325" i="7" s="1"/>
  <c r="I324" i="7"/>
  <c r="J324" i="7" s="1"/>
  <c r="I323" i="7"/>
  <c r="J323" i="7" s="1"/>
  <c r="I322" i="7"/>
  <c r="J322" i="7" s="1"/>
  <c r="F322" i="7"/>
  <c r="J321" i="7"/>
  <c r="I321" i="7"/>
  <c r="J320" i="7"/>
  <c r="I320" i="7"/>
  <c r="J319" i="7"/>
  <c r="I319" i="7"/>
  <c r="F319" i="7"/>
  <c r="Q316" i="7"/>
  <c r="N316" i="7"/>
  <c r="M316" i="7"/>
  <c r="J315" i="7"/>
  <c r="I315" i="7"/>
  <c r="I314" i="7"/>
  <c r="J314" i="7" s="1"/>
  <c r="J313" i="7"/>
  <c r="I313" i="7"/>
  <c r="I312" i="7"/>
  <c r="J312" i="7" s="1"/>
  <c r="I311" i="7"/>
  <c r="J311" i="7" s="1"/>
  <c r="F311" i="7"/>
  <c r="F312" i="7" s="1"/>
  <c r="J310" i="7"/>
  <c r="I310" i="7"/>
  <c r="J309" i="7"/>
  <c r="I309" i="7"/>
  <c r="I308" i="7"/>
  <c r="J308" i="7" s="1"/>
  <c r="F308" i="7"/>
  <c r="F310" i="7" s="1"/>
  <c r="I307" i="7"/>
  <c r="J307" i="7" s="1"/>
  <c r="I306" i="7"/>
  <c r="J306" i="7" s="1"/>
  <c r="F306" i="7"/>
  <c r="J305" i="7"/>
  <c r="I305" i="7"/>
  <c r="I304" i="7"/>
  <c r="J304" i="7" s="1"/>
  <c r="F304" i="7"/>
  <c r="F305" i="7" s="1"/>
  <c r="J303" i="7"/>
  <c r="I303" i="7"/>
  <c r="I302" i="7"/>
  <c r="J302" i="7" s="1"/>
  <c r="I301" i="7"/>
  <c r="J301" i="7" s="1"/>
  <c r="F301" i="7"/>
  <c r="F307" i="7" s="1"/>
  <c r="Q298" i="7"/>
  <c r="P298" i="7"/>
  <c r="N298" i="7"/>
  <c r="M298" i="7"/>
  <c r="I297" i="7"/>
  <c r="J297" i="7" s="1"/>
  <c r="F297" i="7"/>
  <c r="I296" i="7"/>
  <c r="J296" i="7" s="1"/>
  <c r="F296" i="7"/>
  <c r="I295" i="7"/>
  <c r="J295" i="7" s="1"/>
  <c r="F295" i="7"/>
  <c r="J294" i="7"/>
  <c r="I294" i="7"/>
  <c r="H294" i="7"/>
  <c r="I293" i="7"/>
  <c r="J293" i="7" s="1"/>
  <c r="I292" i="7"/>
  <c r="J292" i="7" s="1"/>
  <c r="J291" i="7"/>
  <c r="I291" i="7"/>
  <c r="H291" i="7"/>
  <c r="K291" i="7"/>
  <c r="L291" i="7" s="1"/>
  <c r="I290" i="7"/>
  <c r="J290" i="7" s="1"/>
  <c r="J289" i="7"/>
  <c r="I289" i="7"/>
  <c r="Q286" i="7"/>
  <c r="P286" i="7"/>
  <c r="N286" i="7"/>
  <c r="M286" i="7"/>
  <c r="I285" i="7"/>
  <c r="J285" i="7" s="1"/>
  <c r="F285" i="7"/>
  <c r="I284" i="7"/>
  <c r="J284" i="7" s="1"/>
  <c r="F284" i="7"/>
  <c r="I283" i="7"/>
  <c r="J283" i="7" s="1"/>
  <c r="F283" i="7"/>
  <c r="J282" i="7"/>
  <c r="I282" i="7"/>
  <c r="H282" i="7"/>
  <c r="J281" i="7"/>
  <c r="I281" i="7"/>
  <c r="I280" i="7"/>
  <c r="J280" i="7" s="1"/>
  <c r="I279" i="7"/>
  <c r="J279" i="7" s="1"/>
  <c r="H279" i="7"/>
  <c r="J278" i="7"/>
  <c r="I278" i="7"/>
  <c r="K278" i="7"/>
  <c r="L278" i="7" s="1"/>
  <c r="I277" i="7"/>
  <c r="J277" i="7" s="1"/>
  <c r="I273" i="7"/>
  <c r="J273" i="7" s="1"/>
  <c r="I272" i="7"/>
  <c r="J272" i="7" s="1"/>
  <c r="J270" i="7"/>
  <c r="I270" i="7"/>
  <c r="F270" i="7"/>
  <c r="K270" i="7" s="1"/>
  <c r="J269" i="7"/>
  <c r="I269" i="7"/>
  <c r="F269" i="7"/>
  <c r="I268" i="7"/>
  <c r="J268" i="7" s="1"/>
  <c r="I266" i="7"/>
  <c r="J266" i="7" s="1"/>
  <c r="F266" i="7"/>
  <c r="F267" i="7" s="1"/>
  <c r="J265" i="7"/>
  <c r="I265" i="7"/>
  <c r="F265" i="7"/>
  <c r="F260" i="7"/>
  <c r="J259" i="7"/>
  <c r="I259" i="7"/>
  <c r="I258" i="7"/>
  <c r="J258" i="7" s="1"/>
  <c r="I257" i="7"/>
  <c r="J257" i="7" s="1"/>
  <c r="J256" i="7"/>
  <c r="I256" i="7"/>
  <c r="F255" i="7"/>
  <c r="F256" i="7" s="1"/>
  <c r="J254" i="7"/>
  <c r="I254" i="7"/>
  <c r="I253" i="7"/>
  <c r="J253" i="7" s="1"/>
  <c r="F253" i="7"/>
  <c r="F254" i="7" s="1"/>
  <c r="J249" i="7"/>
  <c r="I249" i="7"/>
  <c r="J248" i="7"/>
  <c r="I248" i="7"/>
  <c r="J247" i="7"/>
  <c r="I247" i="7"/>
  <c r="J246" i="7"/>
  <c r="I246" i="7"/>
  <c r="I245" i="7"/>
  <c r="J245" i="7" s="1"/>
  <c r="I244" i="7"/>
  <c r="J244" i="7" s="1"/>
  <c r="J243" i="7"/>
  <c r="I243" i="7"/>
  <c r="I242" i="7"/>
  <c r="J242" i="7" s="1"/>
  <c r="F242" i="7"/>
  <c r="F241" i="7"/>
  <c r="I240" i="7"/>
  <c r="J240" i="7" s="1"/>
  <c r="F240" i="7"/>
  <c r="I239" i="7"/>
  <c r="J239" i="7" s="1"/>
  <c r="F239" i="7"/>
  <c r="J235" i="7"/>
  <c r="I235" i="7"/>
  <c r="I234" i="7"/>
  <c r="J234" i="7" s="1"/>
  <c r="F234" i="7"/>
  <c r="F235" i="7" s="1"/>
  <c r="J233" i="7"/>
  <c r="I233" i="7"/>
  <c r="F233" i="7"/>
  <c r="M229" i="7"/>
  <c r="I229" i="7"/>
  <c r="J229" i="7" s="1"/>
  <c r="F229" i="7"/>
  <c r="M228" i="7"/>
  <c r="I228" i="7"/>
  <c r="J228" i="7" s="1"/>
  <c r="F228" i="7"/>
  <c r="M227" i="7"/>
  <c r="I227" i="7"/>
  <c r="J227" i="7" s="1"/>
  <c r="F227" i="7"/>
  <c r="M226" i="7"/>
  <c r="I226" i="7"/>
  <c r="J226" i="7" s="1"/>
  <c r="F226" i="7"/>
  <c r="F225" i="7"/>
  <c r="F224" i="7"/>
  <c r="M223" i="7"/>
  <c r="J223" i="7"/>
  <c r="I223" i="7"/>
  <c r="F223" i="7"/>
  <c r="M222" i="7"/>
  <c r="I222" i="7"/>
  <c r="J222" i="7" s="1"/>
  <c r="F222" i="7"/>
  <c r="M221" i="7"/>
  <c r="J221" i="7"/>
  <c r="I221" i="7"/>
  <c r="F221" i="7"/>
  <c r="H216" i="7"/>
  <c r="I216" i="7" s="1"/>
  <c r="J216" i="7" s="1"/>
  <c r="J215" i="7"/>
  <c r="I215" i="7"/>
  <c r="H214" i="7"/>
  <c r="I214" i="7" s="1"/>
  <c r="J214" i="7" s="1"/>
  <c r="J213" i="7"/>
  <c r="I213" i="7"/>
  <c r="I212" i="7"/>
  <c r="J212" i="7" s="1"/>
  <c r="I210" i="7"/>
  <c r="J210" i="7" s="1"/>
  <c r="F210" i="7"/>
  <c r="F211" i="7" s="1"/>
  <c r="H206" i="7"/>
  <c r="I206" i="7" s="1"/>
  <c r="J206" i="7" s="1"/>
  <c r="J205" i="7"/>
  <c r="I205" i="7"/>
  <c r="I204" i="7"/>
  <c r="J204" i="7" s="1"/>
  <c r="H204" i="7"/>
  <c r="I203" i="7"/>
  <c r="J203" i="7" s="1"/>
  <c r="I202" i="7"/>
  <c r="J202" i="7" s="1"/>
  <c r="I200" i="7"/>
  <c r="J200" i="7" s="1"/>
  <c r="F200" i="7"/>
  <c r="F201" i="7" s="1"/>
  <c r="F202" i="7" s="1"/>
  <c r="F203" i="7" s="1"/>
  <c r="F204" i="7" s="1"/>
  <c r="P197" i="7"/>
  <c r="N197" i="7"/>
  <c r="M197" i="7"/>
  <c r="I196" i="7"/>
  <c r="J196" i="7" s="1"/>
  <c r="I194" i="7"/>
  <c r="J194" i="7" s="1"/>
  <c r="F194" i="7"/>
  <c r="F195" i="7" s="1"/>
  <c r="J193" i="7"/>
  <c r="I193" i="7"/>
  <c r="F192" i="7"/>
  <c r="F193" i="7" s="1"/>
  <c r="J191" i="7"/>
  <c r="I191" i="7"/>
  <c r="J190" i="7"/>
  <c r="I190" i="7"/>
  <c r="J189" i="7"/>
  <c r="I189" i="7"/>
  <c r="F189" i="7"/>
  <c r="F190" i="7" s="1"/>
  <c r="F191" i="7" s="1"/>
  <c r="I188" i="7"/>
  <c r="J188" i="7" s="1"/>
  <c r="J187" i="7"/>
  <c r="I187" i="7"/>
  <c r="I186" i="7"/>
  <c r="J186" i="7" s="1"/>
  <c r="J185" i="7"/>
  <c r="I185" i="7"/>
  <c r="I184" i="7"/>
  <c r="J184" i="7" s="1"/>
  <c r="I183" i="7"/>
  <c r="J183" i="7" s="1"/>
  <c r="F183" i="7"/>
  <c r="F184" i="7" s="1"/>
  <c r="F182" i="7"/>
  <c r="I181" i="7"/>
  <c r="J181" i="7" s="1"/>
  <c r="J180" i="7"/>
  <c r="I180" i="7"/>
  <c r="F180" i="7"/>
  <c r="K180" i="7" s="1"/>
  <c r="L180" i="7" s="1"/>
  <c r="F179" i="7"/>
  <c r="I175" i="7"/>
  <c r="J175" i="7" s="1"/>
  <c r="H175" i="7"/>
  <c r="J174" i="7"/>
  <c r="I174" i="7"/>
  <c r="I173" i="7"/>
  <c r="J173" i="7" s="1"/>
  <c r="I172" i="7"/>
  <c r="J172" i="7" s="1"/>
  <c r="I171" i="7"/>
  <c r="J171" i="7" s="1"/>
  <c r="I170" i="7"/>
  <c r="J170" i="7" s="1"/>
  <c r="J168" i="7"/>
  <c r="I168" i="7"/>
  <c r="I167" i="7"/>
  <c r="J167" i="7" s="1"/>
  <c r="I165" i="7"/>
  <c r="J165" i="7" s="1"/>
  <c r="F165" i="7"/>
  <c r="F166" i="7" s="1"/>
  <c r="I160" i="7"/>
  <c r="J160" i="7" s="1"/>
  <c r="I159" i="7"/>
  <c r="J159" i="7" s="1"/>
  <c r="J157" i="7"/>
  <c r="I157" i="7"/>
  <c r="I156" i="7"/>
  <c r="J156" i="7" s="1"/>
  <c r="I155" i="7"/>
  <c r="J155" i="7" s="1"/>
  <c r="F155" i="7"/>
  <c r="F156" i="7" s="1"/>
  <c r="J151" i="7"/>
  <c r="I151" i="7"/>
  <c r="J150" i="7"/>
  <c r="I150" i="7"/>
  <c r="H150" i="7"/>
  <c r="I149" i="7"/>
  <c r="J149" i="7" s="1"/>
  <c r="J148" i="7"/>
  <c r="F148" i="7"/>
  <c r="J147" i="7"/>
  <c r="I147" i="7"/>
  <c r="H147" i="7"/>
  <c r="F147" i="7"/>
  <c r="I143" i="7"/>
  <c r="J143" i="7" s="1"/>
  <c r="H143" i="7"/>
  <c r="I142" i="7"/>
  <c r="J142" i="7" s="1"/>
  <c r="F142" i="7"/>
  <c r="I141" i="7"/>
  <c r="J141" i="7" s="1"/>
  <c r="F141" i="7"/>
  <c r="J140" i="7"/>
  <c r="I140" i="7"/>
  <c r="H140" i="7"/>
  <c r="I139" i="7"/>
  <c r="J139" i="7" s="1"/>
  <c r="F139" i="7"/>
  <c r="Q132" i="7"/>
  <c r="P132" i="7"/>
  <c r="N132" i="7"/>
  <c r="M132" i="7"/>
  <c r="I132" i="7"/>
  <c r="J132" i="7" s="1"/>
  <c r="H132" i="7"/>
  <c r="F132" i="7"/>
  <c r="Q131" i="7"/>
  <c r="P131" i="7"/>
  <c r="N131" i="7"/>
  <c r="M131" i="7"/>
  <c r="J131" i="7"/>
  <c r="Q130" i="7"/>
  <c r="P130" i="7"/>
  <c r="N130" i="7"/>
  <c r="M130" i="7"/>
  <c r="J130" i="7"/>
  <c r="Q129" i="7"/>
  <c r="P129" i="7"/>
  <c r="N129" i="7"/>
  <c r="J129" i="7"/>
  <c r="J128" i="7"/>
  <c r="I128" i="7"/>
  <c r="I127" i="7"/>
  <c r="J127" i="7" s="1"/>
  <c r="J126" i="7"/>
  <c r="I126" i="7"/>
  <c r="H126" i="7"/>
  <c r="I125" i="7"/>
  <c r="J125" i="7" s="1"/>
  <c r="F125" i="7"/>
  <c r="F126" i="7" s="1"/>
  <c r="J124" i="7"/>
  <c r="I124" i="7"/>
  <c r="H124" i="7"/>
  <c r="F124" i="7"/>
  <c r="N121" i="7"/>
  <c r="I117" i="7"/>
  <c r="J117" i="7" s="1"/>
  <c r="I116" i="7"/>
  <c r="J116" i="7" s="1"/>
  <c r="J115" i="7"/>
  <c r="I115" i="7"/>
  <c r="I114" i="7"/>
  <c r="J114" i="7" s="1"/>
  <c r="F114" i="7"/>
  <c r="F115" i="7" s="1"/>
  <c r="I113" i="7"/>
  <c r="J113" i="7" s="1"/>
  <c r="I112" i="7"/>
  <c r="J112" i="7" s="1"/>
  <c r="F112" i="7"/>
  <c r="F113" i="7" s="1"/>
  <c r="I111" i="7"/>
  <c r="J111" i="7" s="1"/>
  <c r="F111" i="7"/>
  <c r="I110" i="7"/>
  <c r="J110" i="7" s="1"/>
  <c r="F110" i="7"/>
  <c r="I106" i="7"/>
  <c r="J106" i="7" s="1"/>
  <c r="J105" i="7"/>
  <c r="I105" i="7"/>
  <c r="I104" i="7"/>
  <c r="J104" i="7" s="1"/>
  <c r="J103" i="7"/>
  <c r="I103" i="7"/>
  <c r="I102" i="7"/>
  <c r="J102" i="7" s="1"/>
  <c r="I101" i="7"/>
  <c r="J101" i="7" s="1"/>
  <c r="J100" i="7"/>
  <c r="I99" i="7"/>
  <c r="J99" i="7" s="1"/>
  <c r="F99" i="7"/>
  <c r="F100" i="7" s="1"/>
  <c r="K100" i="7" s="1"/>
  <c r="L100" i="7" s="1"/>
  <c r="I95" i="7"/>
  <c r="J95" i="7" s="1"/>
  <c r="I94" i="7"/>
  <c r="J94" i="7" s="1"/>
  <c r="J93" i="7"/>
  <c r="I93" i="7"/>
  <c r="I92" i="7"/>
  <c r="J92" i="7" s="1"/>
  <c r="F92" i="7"/>
  <c r="J91" i="7"/>
  <c r="I91" i="7"/>
  <c r="I90" i="7"/>
  <c r="J90" i="7" s="1"/>
  <c r="J89" i="7"/>
  <c r="I88" i="7"/>
  <c r="J88" i="7" s="1"/>
  <c r="F88" i="7"/>
  <c r="F89" i="7" s="1"/>
  <c r="I84" i="7"/>
  <c r="J84" i="7" s="1"/>
  <c r="I83" i="7"/>
  <c r="J83" i="7" s="1"/>
  <c r="I82" i="7"/>
  <c r="J82" i="7" s="1"/>
  <c r="F82" i="7"/>
  <c r="F83" i="7" s="1"/>
  <c r="I81" i="7"/>
  <c r="J81" i="7" s="1"/>
  <c r="I80" i="7"/>
  <c r="J80" i="7" s="1"/>
  <c r="F80" i="7"/>
  <c r="F81" i="7" s="1"/>
  <c r="J79" i="7"/>
  <c r="I79" i="7"/>
  <c r="I78" i="7"/>
  <c r="J78" i="7" s="1"/>
  <c r="J77" i="7"/>
  <c r="F77" i="7"/>
  <c r="K77" i="7" s="1"/>
  <c r="L77" i="7" s="1"/>
  <c r="M77" i="7" s="1"/>
  <c r="I76" i="7"/>
  <c r="J76" i="7" s="1"/>
  <c r="F76" i="7"/>
  <c r="H72" i="7"/>
  <c r="I72" i="7" s="1"/>
  <c r="J72" i="7" s="1"/>
  <c r="I71" i="7"/>
  <c r="J71" i="7" s="1"/>
  <c r="J70" i="7"/>
  <c r="I70" i="7"/>
  <c r="H69" i="7"/>
  <c r="I69" i="7" s="1"/>
  <c r="J69" i="7" s="1"/>
  <c r="I68" i="7"/>
  <c r="J68" i="7" s="1"/>
  <c r="I67" i="7"/>
  <c r="J67" i="7" s="1"/>
  <c r="H67" i="7"/>
  <c r="I66" i="7"/>
  <c r="J66" i="7" s="1"/>
  <c r="I65" i="7"/>
  <c r="J65" i="7" s="1"/>
  <c r="J64" i="7"/>
  <c r="H64" i="7"/>
  <c r="I64" i="7" s="1"/>
  <c r="K64" i="7"/>
  <c r="L64" i="7" s="1"/>
  <c r="I63" i="7"/>
  <c r="J63" i="7" s="1"/>
  <c r="I61" i="7"/>
  <c r="J61" i="7" s="1"/>
  <c r="I60" i="7"/>
  <c r="J60" i="7" s="1"/>
  <c r="K60" i="7" s="1"/>
  <c r="L60" i="7" s="1"/>
  <c r="J59" i="7"/>
  <c r="K59" i="7" s="1"/>
  <c r="L59" i="7" s="1"/>
  <c r="I59" i="7"/>
  <c r="H58" i="7"/>
  <c r="H62" i="7" s="1"/>
  <c r="I57" i="7"/>
  <c r="J57" i="7" s="1"/>
  <c r="K57" i="7" s="1"/>
  <c r="L57" i="7" s="1"/>
  <c r="I56" i="7"/>
  <c r="J56" i="7" s="1"/>
  <c r="H56" i="7"/>
  <c r="I55" i="7"/>
  <c r="J55" i="7" s="1"/>
  <c r="J54" i="7"/>
  <c r="I54" i="7"/>
  <c r="I53" i="7"/>
  <c r="J53" i="7" s="1"/>
  <c r="I52" i="7"/>
  <c r="J52" i="7" s="1"/>
  <c r="H52" i="7"/>
  <c r="J51" i="7"/>
  <c r="K51" i="7"/>
  <c r="L51" i="7" s="1"/>
  <c r="I47" i="7"/>
  <c r="J47" i="7" s="1"/>
  <c r="F47" i="7"/>
  <c r="J46" i="7"/>
  <c r="I46" i="7"/>
  <c r="H46" i="7"/>
  <c r="J45" i="7"/>
  <c r="I45" i="7"/>
  <c r="I44" i="7"/>
  <c r="J44" i="7" s="1"/>
  <c r="I43" i="7"/>
  <c r="J43" i="7" s="1"/>
  <c r="J42" i="7"/>
  <c r="I42" i="7"/>
  <c r="J40" i="7"/>
  <c r="I39" i="7"/>
  <c r="J39" i="7" s="1"/>
  <c r="J38" i="7"/>
  <c r="J37" i="7"/>
  <c r="I36" i="7"/>
  <c r="J36" i="7" s="1"/>
  <c r="I35" i="7"/>
  <c r="H35" i="7"/>
  <c r="H41" i="7" s="1"/>
  <c r="F35" i="7"/>
  <c r="F41" i="7" s="1"/>
  <c r="I34" i="7"/>
  <c r="J34" i="7" s="1"/>
  <c r="F34" i="7"/>
  <c r="I33" i="7"/>
  <c r="J33" i="7" s="1"/>
  <c r="F33" i="7"/>
  <c r="J32" i="7"/>
  <c r="I32" i="7"/>
  <c r="F32" i="7"/>
  <c r="I31" i="7"/>
  <c r="J31" i="7" s="1"/>
  <c r="H31" i="7"/>
  <c r="F31" i="7"/>
  <c r="I30" i="7"/>
  <c r="J30" i="7" s="1"/>
  <c r="F30" i="7"/>
  <c r="I29" i="7"/>
  <c r="J29" i="7" s="1"/>
  <c r="F29" i="7"/>
  <c r="I28" i="7"/>
  <c r="J28" i="7" s="1"/>
  <c r="H28" i="7"/>
  <c r="F28" i="7"/>
  <c r="I27" i="7"/>
  <c r="J27" i="7" s="1"/>
  <c r="J26" i="7"/>
  <c r="I26" i="7"/>
  <c r="I25" i="7"/>
  <c r="J25" i="7" s="1"/>
  <c r="H25" i="7"/>
  <c r="F25" i="7"/>
  <c r="F26" i="7" s="1"/>
  <c r="K26" i="7" s="1"/>
  <c r="L26" i="7" s="1"/>
  <c r="J24" i="7"/>
  <c r="I24" i="7"/>
  <c r="H24" i="7"/>
  <c r="H43" i="7" s="1"/>
  <c r="F24" i="7"/>
  <c r="K24" i="7" s="1"/>
  <c r="L24" i="7" s="1"/>
  <c r="I23" i="7"/>
  <c r="J23" i="7" s="1"/>
  <c r="I22" i="7"/>
  <c r="J22" i="7" s="1"/>
  <c r="H22" i="7"/>
  <c r="F22" i="7"/>
  <c r="I21" i="7"/>
  <c r="J21" i="7" s="1"/>
  <c r="I20" i="7"/>
  <c r="J20" i="7" s="1"/>
  <c r="I19" i="7"/>
  <c r="J19" i="7" s="1"/>
  <c r="I18" i="7"/>
  <c r="J18" i="7" s="1"/>
  <c r="I17" i="7"/>
  <c r="J17" i="7" s="1"/>
  <c r="I16" i="7"/>
  <c r="J16" i="7" s="1"/>
  <c r="F16" i="7"/>
  <c r="I15" i="7"/>
  <c r="J15" i="7" s="1"/>
  <c r="H15" i="7"/>
  <c r="I14" i="7"/>
  <c r="J14" i="7" s="1"/>
  <c r="F14" i="7"/>
  <c r="I13" i="7"/>
  <c r="J13" i="7" s="1"/>
  <c r="H13" i="7"/>
  <c r="J12" i="7"/>
  <c r="J11" i="7"/>
  <c r="F11" i="7"/>
  <c r="I10" i="7"/>
  <c r="J10" i="7" s="1"/>
  <c r="H10" i="7"/>
  <c r="F10" i="7"/>
  <c r="J9" i="7"/>
  <c r="F9" i="7"/>
  <c r="E3" i="7"/>
  <c r="B152" i="6"/>
  <c r="A152" i="6"/>
  <c r="E102" i="6"/>
  <c r="E129" i="6"/>
  <c r="E150" i="6"/>
  <c r="M229" i="4"/>
  <c r="M228" i="4"/>
  <c r="M227" i="4"/>
  <c r="M226" i="4"/>
  <c r="M223" i="4"/>
  <c r="M222" i="4"/>
  <c r="M221" i="4"/>
  <c r="I482" i="4"/>
  <c r="C66" i="6"/>
  <c r="A54" i="6"/>
  <c r="A106" i="6" s="1"/>
  <c r="F450" i="4"/>
  <c r="F451" i="4" s="1"/>
  <c r="F449" i="4"/>
  <c r="I453" i="4"/>
  <c r="J453" i="4" s="1"/>
  <c r="I452" i="4"/>
  <c r="J452" i="4" s="1"/>
  <c r="I451" i="4"/>
  <c r="J451" i="4" s="1"/>
  <c r="I450" i="4"/>
  <c r="J450" i="4" s="1"/>
  <c r="I449" i="4"/>
  <c r="J449" i="4" s="1"/>
  <c r="F160" i="3"/>
  <c r="F73" i="6"/>
  <c r="F79" i="6" s="1"/>
  <c r="A22" i="6"/>
  <c r="A92" i="6" s="1"/>
  <c r="A21" i="6"/>
  <c r="A91" i="6" s="1"/>
  <c r="A20" i="6"/>
  <c r="A90" i="6" s="1"/>
  <c r="A19" i="6"/>
  <c r="A89" i="6" s="1"/>
  <c r="A62" i="6"/>
  <c r="A124" i="6" s="1"/>
  <c r="A17" i="6"/>
  <c r="A88" i="6" s="1"/>
  <c r="A16" i="6"/>
  <c r="A87" i="6" s="1"/>
  <c r="A15" i="6"/>
  <c r="A86" i="6" s="1"/>
  <c r="A7" i="6"/>
  <c r="A74" i="6"/>
  <c r="A61" i="6"/>
  <c r="A148" i="6" s="1"/>
  <c r="A60" i="6"/>
  <c r="A147" i="6" s="1"/>
  <c r="A59" i="6"/>
  <c r="A146" i="6" s="1"/>
  <c r="A58" i="6"/>
  <c r="A145" i="6" s="1"/>
  <c r="A57" i="6"/>
  <c r="A144" i="6" s="1"/>
  <c r="A78" i="6"/>
  <c r="I601" i="4"/>
  <c r="J601" i="4" s="1"/>
  <c r="F601" i="4"/>
  <c r="F600" i="4"/>
  <c r="F599" i="4"/>
  <c r="G599" i="4" s="1"/>
  <c r="F598" i="4"/>
  <c r="G598" i="4" s="1"/>
  <c r="I600" i="4"/>
  <c r="J600" i="4" s="1"/>
  <c r="I599" i="4"/>
  <c r="J599" i="4" s="1"/>
  <c r="I598" i="4"/>
  <c r="J598" i="4" s="1"/>
  <c r="I556" i="4"/>
  <c r="I117" i="4"/>
  <c r="I116" i="4"/>
  <c r="I113" i="4"/>
  <c r="F112" i="4"/>
  <c r="I111" i="4"/>
  <c r="F111" i="4"/>
  <c r="G444" i="7" l="1"/>
  <c r="G443" i="7"/>
  <c r="K443" i="7" s="1"/>
  <c r="L443" i="7" s="1"/>
  <c r="G442" i="7"/>
  <c r="G273" i="7"/>
  <c r="G272" i="7"/>
  <c r="G271" i="7"/>
  <c r="G268" i="7"/>
  <c r="G267" i="7"/>
  <c r="G266" i="7"/>
  <c r="G265" i="7"/>
  <c r="K265" i="7" s="1"/>
  <c r="G133" i="3"/>
  <c r="G34" i="7"/>
  <c r="K34" i="7" s="1"/>
  <c r="G33" i="7"/>
  <c r="G32" i="7"/>
  <c r="K32" i="7" s="1"/>
  <c r="M32" i="7" s="1"/>
  <c r="G71" i="7"/>
  <c r="K71" i="7" s="1"/>
  <c r="M71" i="7" s="1"/>
  <c r="G70" i="7"/>
  <c r="K70" i="7" s="1"/>
  <c r="M70" i="7" s="1"/>
  <c r="G68" i="7"/>
  <c r="G88" i="3"/>
  <c r="G21" i="7"/>
  <c r="G18" i="7"/>
  <c r="G20" i="7"/>
  <c r="K20" i="7" s="1"/>
  <c r="L20" i="7" s="1"/>
  <c r="G19" i="7"/>
  <c r="G17" i="7"/>
  <c r="G393" i="7"/>
  <c r="G573" i="7"/>
  <c r="G392" i="7"/>
  <c r="G572" i="7"/>
  <c r="K572" i="7" s="1"/>
  <c r="G391" i="7"/>
  <c r="G571" i="7"/>
  <c r="G390" i="7"/>
  <c r="G389" i="7"/>
  <c r="G569" i="7"/>
  <c r="G388" i="7"/>
  <c r="G387" i="7"/>
  <c r="K387" i="7" s="1"/>
  <c r="G565" i="7"/>
  <c r="G564" i="7"/>
  <c r="G395" i="7"/>
  <c r="G394" i="7"/>
  <c r="G563" i="7"/>
  <c r="K563" i="7" s="1"/>
  <c r="G345" i="7"/>
  <c r="G343" i="7"/>
  <c r="G342" i="7"/>
  <c r="G341" i="7"/>
  <c r="G337" i="7"/>
  <c r="G340" i="7"/>
  <c r="G541" i="7"/>
  <c r="K541" i="7" s="1"/>
  <c r="G148" i="7"/>
  <c r="K148" i="7" s="1"/>
  <c r="G540" i="7"/>
  <c r="K540" i="7" s="1"/>
  <c r="L540" i="7" s="1"/>
  <c r="G147" i="7"/>
  <c r="K147" i="7" s="1"/>
  <c r="L147" i="7" s="1"/>
  <c r="G539" i="7"/>
  <c r="K539" i="7" s="1"/>
  <c r="O539" i="7" s="1"/>
  <c r="G609" i="7"/>
  <c r="G608" i="7"/>
  <c r="G607" i="7"/>
  <c r="G173" i="3"/>
  <c r="G149" i="7"/>
  <c r="G606" i="7"/>
  <c r="K606" i="7" s="1"/>
  <c r="G605" i="7"/>
  <c r="K605" i="7" s="1"/>
  <c r="M605" i="7" s="1"/>
  <c r="G172" i="3"/>
  <c r="G45" i="3"/>
  <c r="G44" i="3"/>
  <c r="G543" i="7"/>
  <c r="G151" i="7"/>
  <c r="G150" i="7"/>
  <c r="G542" i="7"/>
  <c r="G183" i="3"/>
  <c r="G260" i="7" s="1"/>
  <c r="G258" i="7"/>
  <c r="G257" i="7"/>
  <c r="G255" i="7"/>
  <c r="G254" i="7"/>
  <c r="K254" i="7" s="1"/>
  <c r="G256" i="7"/>
  <c r="K256" i="7" s="1"/>
  <c r="L256" i="7" s="1"/>
  <c r="G253" i="7"/>
  <c r="K253" i="7" s="1"/>
  <c r="M253" i="7" s="1"/>
  <c r="G259" i="7"/>
  <c r="G182" i="3"/>
  <c r="G261" i="7" s="1"/>
  <c r="G576" i="7"/>
  <c r="K576" i="7" s="1"/>
  <c r="L576" i="7" s="1"/>
  <c r="G575" i="7"/>
  <c r="G95" i="3"/>
  <c r="G62" i="3"/>
  <c r="G451" i="7"/>
  <c r="G450" i="7"/>
  <c r="G452" i="7"/>
  <c r="C156" i="8"/>
  <c r="B160" i="8" s="1"/>
  <c r="E154" i="8"/>
  <c r="F154" i="8"/>
  <c r="F160" i="8" s="1"/>
  <c r="L666" i="7"/>
  <c r="K634" i="7"/>
  <c r="M634" i="7" s="1"/>
  <c r="F555" i="7"/>
  <c r="K554" i="7"/>
  <c r="K614" i="7"/>
  <c r="F615" i="7"/>
  <c r="K615" i="7" s="1"/>
  <c r="M615" i="7" s="1"/>
  <c r="F535" i="7"/>
  <c r="K535" i="7" s="1"/>
  <c r="F212" i="7"/>
  <c r="F213" i="7" s="1"/>
  <c r="F43" i="7"/>
  <c r="K43" i="7" s="1"/>
  <c r="L43" i="7" s="1"/>
  <c r="F663" i="7"/>
  <c r="F548" i="7"/>
  <c r="F549" i="7" s="1"/>
  <c r="K549" i="7" s="1"/>
  <c r="O549" i="7" s="1"/>
  <c r="K553" i="7"/>
  <c r="L553" i="7" s="1"/>
  <c r="F480" i="7"/>
  <c r="F676" i="7"/>
  <c r="F677" i="7" s="1"/>
  <c r="F37" i="7"/>
  <c r="F39" i="7" s="1"/>
  <c r="K39" i="7" s="1"/>
  <c r="L39" i="7" s="1"/>
  <c r="K210" i="7"/>
  <c r="Q210" i="7" s="1"/>
  <c r="F400" i="7"/>
  <c r="K433" i="7"/>
  <c r="K500" i="7"/>
  <c r="K542" i="7"/>
  <c r="K613" i="7"/>
  <c r="G697" i="7"/>
  <c r="K697" i="7" s="1"/>
  <c r="M697" i="7" s="1"/>
  <c r="K329" i="7"/>
  <c r="P329" i="7" s="1"/>
  <c r="K486" i="7"/>
  <c r="L486" i="7" s="1"/>
  <c r="K487" i="7"/>
  <c r="F78" i="7"/>
  <c r="F90" i="7"/>
  <c r="F91" i="7" s="1"/>
  <c r="K91" i="7" s="1"/>
  <c r="L91" i="7" s="1"/>
  <c r="F181" i="7"/>
  <c r="K181" i="7" s="1"/>
  <c r="Q181" i="7" s="1"/>
  <c r="F257" i="7"/>
  <c r="F258" i="7" s="1"/>
  <c r="F472" i="7"/>
  <c r="F473" i="7" s="1"/>
  <c r="F564" i="7"/>
  <c r="F565" i="7" s="1"/>
  <c r="K565" i="7" s="1"/>
  <c r="F582" i="7"/>
  <c r="K582" i="7" s="1"/>
  <c r="M582" i="7" s="1"/>
  <c r="F572" i="7"/>
  <c r="F573" i="7" s="1"/>
  <c r="K33" i="7"/>
  <c r="M33" i="7" s="1"/>
  <c r="F585" i="7"/>
  <c r="K585" i="7" s="1"/>
  <c r="L585" i="7" s="1"/>
  <c r="K285" i="7"/>
  <c r="L285" i="7" s="1"/>
  <c r="K434" i="7"/>
  <c r="M434" i="7" s="1"/>
  <c r="K460" i="7"/>
  <c r="M460" i="7" s="1"/>
  <c r="K305" i="7"/>
  <c r="P305" i="7" s="1"/>
  <c r="K312" i="7"/>
  <c r="P312" i="7" s="1"/>
  <c r="K311" i="7"/>
  <c r="P311" i="7" s="1"/>
  <c r="K72" i="7"/>
  <c r="L72" i="7" s="1"/>
  <c r="K625" i="7"/>
  <c r="M625" i="7" s="1"/>
  <c r="K13" i="7"/>
  <c r="L13" i="7" s="1"/>
  <c r="K449" i="7"/>
  <c r="L449" i="7" s="1"/>
  <c r="K11" i="7"/>
  <c r="L11" i="7" s="1"/>
  <c r="K53" i="7"/>
  <c r="L53" i="7" s="1"/>
  <c r="K294" i="7"/>
  <c r="L294" i="7" s="1"/>
  <c r="K269" i="7"/>
  <c r="L269" i="7" s="1"/>
  <c r="K193" i="7"/>
  <c r="L193" i="7" s="1"/>
  <c r="L599" i="7"/>
  <c r="M599" i="7"/>
  <c r="K461" i="7"/>
  <c r="L461" i="7" s="1"/>
  <c r="K290" i="7"/>
  <c r="L290" i="7" s="1"/>
  <c r="K662" i="7"/>
  <c r="M662" i="7" s="1"/>
  <c r="K635" i="7"/>
  <c r="M635" i="7" s="1"/>
  <c r="K543" i="7"/>
  <c r="O543" i="7" s="1"/>
  <c r="K21" i="7"/>
  <c r="L21" i="7" s="1"/>
  <c r="K38" i="7"/>
  <c r="L38" i="7" s="1"/>
  <c r="K281" i="7"/>
  <c r="L281" i="7" s="1"/>
  <c r="K493" i="7"/>
  <c r="M493" i="7" s="1"/>
  <c r="K530" i="7"/>
  <c r="L530" i="7" s="1"/>
  <c r="K574" i="7"/>
  <c r="M574" i="7" s="1"/>
  <c r="K56" i="7"/>
  <c r="L56" i="7" s="1"/>
  <c r="Q133" i="7"/>
  <c r="Q135" i="7" s="1"/>
  <c r="K63" i="7"/>
  <c r="L63" i="7" s="1"/>
  <c r="K68" i="7"/>
  <c r="L68" i="7" s="1"/>
  <c r="K442" i="7"/>
  <c r="L442" i="7" s="1"/>
  <c r="K12" i="7"/>
  <c r="M12" i="7" s="1"/>
  <c r="K22" i="7"/>
  <c r="L22" i="7" s="1"/>
  <c r="Q180" i="7"/>
  <c r="L626" i="7"/>
  <c r="M626" i="7"/>
  <c r="L675" i="7"/>
  <c r="M675" i="7"/>
  <c r="L628" i="7"/>
  <c r="K10" i="7"/>
  <c r="L10" i="7" s="1"/>
  <c r="K36" i="7"/>
  <c r="L36" i="7" s="1"/>
  <c r="K444" i="7"/>
  <c r="L444" i="7" s="1"/>
  <c r="K589" i="7"/>
  <c r="K598" i="7"/>
  <c r="M598" i="7" s="1"/>
  <c r="K633" i="7"/>
  <c r="M633" i="7" s="1"/>
  <c r="K15" i="7"/>
  <c r="L15" i="7" s="1"/>
  <c r="K44" i="7"/>
  <c r="K279" i="7"/>
  <c r="L279" i="7" s="1"/>
  <c r="K516" i="7"/>
  <c r="L516" i="7" s="1"/>
  <c r="K622" i="7"/>
  <c r="M622" i="7" s="1"/>
  <c r="K639" i="7"/>
  <c r="M639" i="7" s="1"/>
  <c r="K636" i="7"/>
  <c r="M636" i="7" s="1"/>
  <c r="K66" i="7"/>
  <c r="L66" i="7" s="1"/>
  <c r="K54" i="7"/>
  <c r="L54" i="7" s="1"/>
  <c r="K61" i="7"/>
  <c r="L61" i="7" s="1"/>
  <c r="K67" i="7"/>
  <c r="L67" i="7" s="1"/>
  <c r="K81" i="7"/>
  <c r="L81" i="7" s="1"/>
  <c r="M81" i="7" s="1"/>
  <c r="K113" i="7"/>
  <c r="L113" i="7" s="1"/>
  <c r="K289" i="7"/>
  <c r="L289" i="7" s="1"/>
  <c r="K630" i="7"/>
  <c r="K296" i="7"/>
  <c r="L296" i="7" s="1"/>
  <c r="K419" i="7"/>
  <c r="M419" i="7" s="1"/>
  <c r="K571" i="7"/>
  <c r="M571" i="7" s="1"/>
  <c r="K627" i="7"/>
  <c r="M627" i="7" s="1"/>
  <c r="K661" i="7"/>
  <c r="M661" i="7" s="1"/>
  <c r="K42" i="7"/>
  <c r="L42" i="7" s="1"/>
  <c r="K65" i="7"/>
  <c r="L65" i="7" s="1"/>
  <c r="K89" i="7"/>
  <c r="M89" i="7" s="1"/>
  <c r="K14" i="7"/>
  <c r="M14" i="7" s="1"/>
  <c r="K17" i="7"/>
  <c r="K584" i="7"/>
  <c r="M584" i="7" s="1"/>
  <c r="K624" i="7"/>
  <c r="M624" i="7" s="1"/>
  <c r="K462" i="7"/>
  <c r="L462" i="7" s="1"/>
  <c r="M471" i="7"/>
  <c r="K512" i="7"/>
  <c r="L512" i="7" s="1"/>
  <c r="K40" i="7"/>
  <c r="L40" i="7" s="1"/>
  <c r="K45" i="7"/>
  <c r="M45" i="7" s="1"/>
  <c r="K69" i="7"/>
  <c r="L69" i="7" s="1"/>
  <c r="K277" i="7"/>
  <c r="L277" i="7" s="1"/>
  <c r="K457" i="7"/>
  <c r="M457" i="7" s="1"/>
  <c r="K547" i="7"/>
  <c r="K458" i="7"/>
  <c r="L458" i="7" s="1"/>
  <c r="K632" i="7"/>
  <c r="M632" i="7" s="1"/>
  <c r="I66" i="8"/>
  <c r="T66" i="8" s="1"/>
  <c r="K29" i="7"/>
  <c r="L29" i="7" s="1"/>
  <c r="K682" i="7"/>
  <c r="K110" i="7"/>
  <c r="K37" i="7"/>
  <c r="L37" i="7" s="1"/>
  <c r="K548" i="7"/>
  <c r="K18" i="7"/>
  <c r="K283" i="7"/>
  <c r="L283" i="7" s="1"/>
  <c r="L644" i="7"/>
  <c r="K9" i="7"/>
  <c r="L9" i="7" s="1"/>
  <c r="K52" i="7"/>
  <c r="L52" i="7" s="1"/>
  <c r="K82" i="7"/>
  <c r="L82" i="7" s="1"/>
  <c r="M82" i="7" s="1"/>
  <c r="K99" i="7"/>
  <c r="K114" i="7"/>
  <c r="L634" i="7"/>
  <c r="F185" i="7"/>
  <c r="L270" i="7"/>
  <c r="M270" i="7"/>
  <c r="K284" i="7"/>
  <c r="L284" i="7" s="1"/>
  <c r="F354" i="7"/>
  <c r="K411" i="7"/>
  <c r="F412" i="7"/>
  <c r="K16" i="7"/>
  <c r="K47" i="7"/>
  <c r="F167" i="7"/>
  <c r="F243" i="7"/>
  <c r="L399" i="7"/>
  <c r="K562" i="7"/>
  <c r="J35" i="7"/>
  <c r="I41" i="7"/>
  <c r="J41" i="7" s="1"/>
  <c r="K41" i="7" s="1"/>
  <c r="L41" i="7" s="1"/>
  <c r="K76" i="7"/>
  <c r="L76" i="7" s="1"/>
  <c r="M100" i="7"/>
  <c r="K115" i="7"/>
  <c r="F157" i="7"/>
  <c r="F388" i="7"/>
  <c r="K194" i="7"/>
  <c r="K623" i="7"/>
  <c r="F683" i="7"/>
  <c r="G683" i="7" s="1"/>
  <c r="K683" i="7" s="1"/>
  <c r="F684" i="7"/>
  <c r="L330" i="7"/>
  <c r="P330" i="7"/>
  <c r="K28" i="7"/>
  <c r="L28" i="7" s="1"/>
  <c r="K310" i="7"/>
  <c r="F313" i="7"/>
  <c r="K376" i="7"/>
  <c r="F369" i="7"/>
  <c r="M583" i="7"/>
  <c r="L583" i="7"/>
  <c r="K591" i="7"/>
  <c r="F592" i="7"/>
  <c r="K629" i="7"/>
  <c r="F581" i="7"/>
  <c r="K581" i="7" s="1"/>
  <c r="K580" i="7"/>
  <c r="K25" i="7"/>
  <c r="L25" i="7" s="1"/>
  <c r="F79" i="7"/>
  <c r="K78" i="7"/>
  <c r="L78" i="7" s="1"/>
  <c r="M78" i="7" s="1"/>
  <c r="K92" i="7"/>
  <c r="F93" i="7"/>
  <c r="F149" i="7"/>
  <c r="F196" i="7"/>
  <c r="K196" i="7" s="1"/>
  <c r="K308" i="7"/>
  <c r="K378" i="7"/>
  <c r="F379" i="7"/>
  <c r="K297" i="7"/>
  <c r="L297" i="7" s="1"/>
  <c r="K319" i="7"/>
  <c r="F325" i="7"/>
  <c r="F320" i="7"/>
  <c r="K377" i="7"/>
  <c r="M631" i="7"/>
  <c r="L631" i="7"/>
  <c r="F641" i="7"/>
  <c r="G640" i="7"/>
  <c r="K640" i="7" s="1"/>
  <c r="K155" i="7"/>
  <c r="K23" i="7"/>
  <c r="L23" i="7" s="1"/>
  <c r="K83" i="7"/>
  <c r="L83" i="7" s="1"/>
  <c r="M83" i="7" s="1"/>
  <c r="F205" i="7"/>
  <c r="K156" i="7"/>
  <c r="F101" i="7"/>
  <c r="F271" i="7"/>
  <c r="F268" i="7"/>
  <c r="K268" i="7" s="1"/>
  <c r="K27" i="7"/>
  <c r="L27" i="7" s="1"/>
  <c r="K80" i="7"/>
  <c r="L80" i="7" s="1"/>
  <c r="M80" i="7" s="1"/>
  <c r="K112" i="7"/>
  <c r="F116" i="7"/>
  <c r="P133" i="7"/>
  <c r="P135" i="7" s="1"/>
  <c r="K266" i="7"/>
  <c r="K555" i="7"/>
  <c r="F556" i="7"/>
  <c r="K590" i="7"/>
  <c r="F688" i="7"/>
  <c r="G687" i="7"/>
  <c r="K687" i="7" s="1"/>
  <c r="M133" i="7"/>
  <c r="M135" i="7" s="1"/>
  <c r="K307" i="7"/>
  <c r="F309" i="7"/>
  <c r="F323" i="7"/>
  <c r="F326" i="7"/>
  <c r="F401" i="7"/>
  <c r="K450" i="7"/>
  <c r="L450" i="7" s="1"/>
  <c r="F451" i="7"/>
  <c r="F427" i="7"/>
  <c r="K426" i="7"/>
  <c r="F616" i="7"/>
  <c r="K616" i="7" s="1"/>
  <c r="G677" i="7"/>
  <c r="K677" i="7" s="1"/>
  <c r="F678" i="7"/>
  <c r="G678" i="7" s="1"/>
  <c r="K678" i="7" s="1"/>
  <c r="K293" i="7"/>
  <c r="L293" i="7" s="1"/>
  <c r="K304" i="7"/>
  <c r="K55" i="7"/>
  <c r="I58" i="7"/>
  <c r="F435" i="7"/>
  <c r="F445" i="7"/>
  <c r="K445" i="7" s="1"/>
  <c r="L445" i="7" s="1"/>
  <c r="K453" i="7"/>
  <c r="L453" i="7" s="1"/>
  <c r="K501" i="7"/>
  <c r="K513" i="7"/>
  <c r="L513" i="7" s="1"/>
  <c r="F514" i="7"/>
  <c r="K514" i="7" s="1"/>
  <c r="L514" i="7" s="1"/>
  <c r="F532" i="7"/>
  <c r="K532" i="7" s="1"/>
  <c r="K292" i="7"/>
  <c r="L292" i="7" s="1"/>
  <c r="K306" i="7"/>
  <c r="L567" i="7"/>
  <c r="M567" i="7"/>
  <c r="F95" i="7"/>
  <c r="K95" i="7" s="1"/>
  <c r="K301" i="7"/>
  <c r="K322" i="7"/>
  <c r="F710" i="7"/>
  <c r="K88" i="7"/>
  <c r="K575" i="7"/>
  <c r="F668" i="7"/>
  <c r="G667" i="7"/>
  <c r="K667" i="7" s="1"/>
  <c r="G676" i="7"/>
  <c r="K676" i="7" s="1"/>
  <c r="G709" i="7"/>
  <c r="K19" i="7"/>
  <c r="K111" i="7"/>
  <c r="F302" i="7"/>
  <c r="K409" i="7"/>
  <c r="K432" i="7"/>
  <c r="F503" i="7"/>
  <c r="K515" i="7"/>
  <c r="F607" i="7"/>
  <c r="K282" i="7"/>
  <c r="L282" i="7" s="1"/>
  <c r="K533" i="7"/>
  <c r="K569" i="7"/>
  <c r="L698" i="7"/>
  <c r="K280" i="7"/>
  <c r="L280" i="7" s="1"/>
  <c r="K295" i="7"/>
  <c r="L295" i="7" s="1"/>
  <c r="F421" i="7"/>
  <c r="F522" i="7"/>
  <c r="K573" i="7"/>
  <c r="K601" i="7"/>
  <c r="K466" i="7"/>
  <c r="F467" i="7"/>
  <c r="K517" i="7"/>
  <c r="L517" i="7" s="1"/>
  <c r="K570" i="7"/>
  <c r="F649" i="7"/>
  <c r="K502" i="7"/>
  <c r="G648" i="7"/>
  <c r="M702" i="7"/>
  <c r="L702" i="7"/>
  <c r="F496" i="7"/>
  <c r="K496" i="7" s="1"/>
  <c r="K488" i="7"/>
  <c r="F489" i="7"/>
  <c r="K489" i="7" s="1"/>
  <c r="K494" i="7"/>
  <c r="K568" i="7"/>
  <c r="K479" i="7"/>
  <c r="F699" i="7"/>
  <c r="K566" i="7"/>
  <c r="K600" i="7"/>
  <c r="F452" i="4"/>
  <c r="F453" i="4"/>
  <c r="K599" i="4"/>
  <c r="L599" i="4" s="1"/>
  <c r="K598" i="4"/>
  <c r="L32" i="7" l="1"/>
  <c r="M254" i="7"/>
  <c r="L254" i="7"/>
  <c r="K258" i="7"/>
  <c r="M258" i="7" s="1"/>
  <c r="L265" i="7"/>
  <c r="M265" i="7"/>
  <c r="M563" i="7"/>
  <c r="L563" i="7"/>
  <c r="G142" i="7"/>
  <c r="K142" i="7" s="1"/>
  <c r="Q142" i="7" s="1"/>
  <c r="G141" i="7"/>
  <c r="K141" i="7" s="1"/>
  <c r="L141" i="7" s="1"/>
  <c r="G143" i="7"/>
  <c r="K143" i="7" s="1"/>
  <c r="G140" i="7"/>
  <c r="K140" i="7" s="1"/>
  <c r="G139" i="7"/>
  <c r="K139" i="7" s="1"/>
  <c r="Q139" i="7" s="1"/>
  <c r="G366" i="7"/>
  <c r="G365" i="7"/>
  <c r="G364" i="7"/>
  <c r="G363" i="7"/>
  <c r="G372" i="7"/>
  <c r="G371" i="7"/>
  <c r="G368" i="7"/>
  <c r="G367" i="7"/>
  <c r="G370" i="7"/>
  <c r="G369" i="7"/>
  <c r="G126" i="7"/>
  <c r="G124" i="7"/>
  <c r="G64" i="3"/>
  <c r="G76" i="3"/>
  <c r="G132" i="7"/>
  <c r="G63" i="3"/>
  <c r="G130" i="7"/>
  <c r="G129" i="7"/>
  <c r="G128" i="7"/>
  <c r="G125" i="7"/>
  <c r="G100" i="3"/>
  <c r="G101" i="3" s="1"/>
  <c r="G116" i="3"/>
  <c r="G99" i="3"/>
  <c r="G30" i="7"/>
  <c r="K30" i="7" s="1"/>
  <c r="L30" i="7" s="1"/>
  <c r="G31" i="7"/>
  <c r="K31" i="7" s="1"/>
  <c r="M31" i="7" s="1"/>
  <c r="G200" i="7"/>
  <c r="G201" i="7"/>
  <c r="G206" i="7"/>
  <c r="G205" i="7"/>
  <c r="G202" i="7"/>
  <c r="G204" i="7"/>
  <c r="G203" i="7"/>
  <c r="G351" i="7"/>
  <c r="G350" i="7"/>
  <c r="G359" i="7"/>
  <c r="G358" i="7"/>
  <c r="G357" i="7"/>
  <c r="G356" i="7"/>
  <c r="G354" i="7"/>
  <c r="G355" i="7"/>
  <c r="G353" i="7"/>
  <c r="G352" i="7"/>
  <c r="G243" i="7"/>
  <c r="G242" i="7"/>
  <c r="G240" i="7"/>
  <c r="G46" i="3"/>
  <c r="G249" i="7"/>
  <c r="G248" i="7"/>
  <c r="G246" i="7"/>
  <c r="G247" i="7"/>
  <c r="G245" i="7"/>
  <c r="G244" i="7"/>
  <c r="L70" i="7"/>
  <c r="G98" i="3"/>
  <c r="G182" i="7" s="1"/>
  <c r="J154" i="8"/>
  <c r="E160" i="8"/>
  <c r="E156" i="8"/>
  <c r="L33" i="7"/>
  <c r="L329" i="7"/>
  <c r="L615" i="7"/>
  <c r="L311" i="7"/>
  <c r="L549" i="7"/>
  <c r="M91" i="7"/>
  <c r="M486" i="7"/>
  <c r="L582" i="7"/>
  <c r="F46" i="7"/>
  <c r="K46" i="7" s="1"/>
  <c r="M46" i="7" s="1"/>
  <c r="M553" i="7"/>
  <c r="K90" i="7"/>
  <c r="L90" i="7" s="1"/>
  <c r="L305" i="7"/>
  <c r="F474" i="7"/>
  <c r="K474" i="7" s="1"/>
  <c r="K212" i="7"/>
  <c r="Q212" i="7" s="1"/>
  <c r="F481" i="7"/>
  <c r="K480" i="7"/>
  <c r="F259" i="7"/>
  <c r="K259" i="7" s="1"/>
  <c r="L259" i="7" s="1"/>
  <c r="F664" i="7"/>
  <c r="G663" i="7"/>
  <c r="K663" i="7" s="1"/>
  <c r="L663" i="7" s="1"/>
  <c r="K213" i="7"/>
  <c r="F214" i="7"/>
  <c r="K472" i="7"/>
  <c r="M472" i="7" s="1"/>
  <c r="K257" i="7"/>
  <c r="L257" i="7" s="1"/>
  <c r="M585" i="7"/>
  <c r="L635" i="7"/>
  <c r="L434" i="7"/>
  <c r="O540" i="7"/>
  <c r="L697" i="7"/>
  <c r="M72" i="7"/>
  <c r="L598" i="7"/>
  <c r="L460" i="7"/>
  <c r="L457" i="7"/>
  <c r="M256" i="7"/>
  <c r="L574" i="7"/>
  <c r="L625" i="7"/>
  <c r="L419" i="7"/>
  <c r="L253" i="7"/>
  <c r="L493" i="7"/>
  <c r="L312" i="7"/>
  <c r="M269" i="7"/>
  <c r="Q193" i="7"/>
  <c r="Q147" i="7"/>
  <c r="M576" i="7"/>
  <c r="M53" i="7"/>
  <c r="L12" i="7"/>
  <c r="L662" i="7"/>
  <c r="M13" i="7"/>
  <c r="L258" i="7"/>
  <c r="L181" i="7"/>
  <c r="L661" i="7"/>
  <c r="K35" i="7"/>
  <c r="L35" i="7" s="1"/>
  <c r="L71" i="7"/>
  <c r="L622" i="7"/>
  <c r="M530" i="7"/>
  <c r="L210" i="7"/>
  <c r="L45" i="7"/>
  <c r="L584" i="7"/>
  <c r="L543" i="7"/>
  <c r="L446" i="7"/>
  <c r="B53" i="8" s="1"/>
  <c r="L539" i="7"/>
  <c r="L571" i="7"/>
  <c r="M461" i="7"/>
  <c r="M113" i="7"/>
  <c r="L639" i="7"/>
  <c r="L605" i="7"/>
  <c r="M15" i="7"/>
  <c r="M44" i="7"/>
  <c r="L44" i="7"/>
  <c r="L589" i="7"/>
  <c r="M589" i="7"/>
  <c r="L632" i="7"/>
  <c r="L633" i="7"/>
  <c r="M462" i="7"/>
  <c r="L14" i="7"/>
  <c r="M458" i="7"/>
  <c r="O547" i="7"/>
  <c r="L547" i="7"/>
  <c r="L89" i="7"/>
  <c r="L286" i="7"/>
  <c r="B30" i="8" s="1"/>
  <c r="L636" i="7"/>
  <c r="M54" i="7"/>
  <c r="L624" i="7"/>
  <c r="L627" i="7"/>
  <c r="L630" i="7"/>
  <c r="M630" i="7"/>
  <c r="L298" i="7"/>
  <c r="B31" i="8" s="1"/>
  <c r="L17" i="7"/>
  <c r="M17" i="7"/>
  <c r="L304" i="7"/>
  <c r="P304" i="7"/>
  <c r="L155" i="7"/>
  <c r="M155" i="7"/>
  <c r="P322" i="7"/>
  <c r="L322" i="7"/>
  <c r="M555" i="7"/>
  <c r="L555" i="7"/>
  <c r="M640" i="7"/>
  <c r="L640" i="7"/>
  <c r="M489" i="7"/>
  <c r="L489" i="7"/>
  <c r="L268" i="7"/>
  <c r="M268" i="7"/>
  <c r="M667" i="7"/>
  <c r="L667" i="7"/>
  <c r="M532" i="7"/>
  <c r="L532" i="7"/>
  <c r="M266" i="7"/>
  <c r="L266" i="7"/>
  <c r="Q194" i="7"/>
  <c r="L194" i="7"/>
  <c r="L590" i="7"/>
  <c r="M590" i="7"/>
  <c r="M494" i="7"/>
  <c r="L494" i="7"/>
  <c r="L572" i="7"/>
  <c r="M572" i="7"/>
  <c r="L47" i="7"/>
  <c r="M47" i="7"/>
  <c r="O541" i="7"/>
  <c r="L541" i="7"/>
  <c r="M112" i="7"/>
  <c r="L112" i="7"/>
  <c r="O548" i="7"/>
  <c r="L548" i="7"/>
  <c r="M616" i="7"/>
  <c r="L616" i="7"/>
  <c r="Q196" i="7"/>
  <c r="L196" i="7"/>
  <c r="M676" i="7"/>
  <c r="L676" i="7"/>
  <c r="M432" i="7"/>
  <c r="L432" i="7"/>
  <c r="O377" i="7"/>
  <c r="L377" i="7"/>
  <c r="O387" i="7"/>
  <c r="L387" i="7"/>
  <c r="L488" i="7"/>
  <c r="M488" i="7"/>
  <c r="F422" i="7"/>
  <c r="K422" i="7" s="1"/>
  <c r="K421" i="7"/>
  <c r="L542" i="7"/>
  <c r="O542" i="7"/>
  <c r="M500" i="7"/>
  <c r="L500" i="7"/>
  <c r="P307" i="7"/>
  <c r="L307" i="7"/>
  <c r="L34" i="7"/>
  <c r="M34" i="7"/>
  <c r="F206" i="7"/>
  <c r="F272" i="7"/>
  <c r="L677" i="7"/>
  <c r="M677" i="7"/>
  <c r="L601" i="7"/>
  <c r="M601" i="7"/>
  <c r="M614" i="7"/>
  <c r="L614" i="7"/>
  <c r="M114" i="7"/>
  <c r="L114" i="7"/>
  <c r="M554" i="7"/>
  <c r="L554" i="7"/>
  <c r="M496" i="7"/>
  <c r="L496" i="7"/>
  <c r="K149" i="7"/>
  <c r="F150" i="7"/>
  <c r="F593" i="7"/>
  <c r="K592" i="7"/>
  <c r="L95" i="7"/>
  <c r="M95" i="7"/>
  <c r="L533" i="7"/>
  <c r="M533" i="7"/>
  <c r="L139" i="7"/>
  <c r="F380" i="7"/>
  <c r="K380" i="7" s="1"/>
  <c r="F381" i="7"/>
  <c r="K379" i="7"/>
  <c r="K93" i="7"/>
  <c r="F94" i="7"/>
  <c r="K94" i="7" s="1"/>
  <c r="L115" i="7"/>
  <c r="M115" i="7"/>
  <c r="L409" i="7"/>
  <c r="M409" i="7"/>
  <c r="G668" i="7"/>
  <c r="K668" i="7" s="1"/>
  <c r="F669" i="7"/>
  <c r="G710" i="7"/>
  <c r="K710" i="7" s="1"/>
  <c r="F711" i="7"/>
  <c r="G711" i="7" s="1"/>
  <c r="K711" i="7" s="1"/>
  <c r="M682" i="7"/>
  <c r="L682" i="7"/>
  <c r="F328" i="7"/>
  <c r="K326" i="7"/>
  <c r="M623" i="7"/>
  <c r="L623" i="7"/>
  <c r="L111" i="7"/>
  <c r="M111" i="7"/>
  <c r="P301" i="7"/>
  <c r="L301" i="7"/>
  <c r="F168" i="7"/>
  <c r="M110" i="7"/>
  <c r="L110" i="7"/>
  <c r="K522" i="7"/>
  <c r="F523" i="7"/>
  <c r="L606" i="7"/>
  <c r="M606" i="7"/>
  <c r="O376" i="7"/>
  <c r="L376" i="7"/>
  <c r="F428" i="7"/>
  <c r="K428" i="7" s="1"/>
  <c r="M562" i="7"/>
  <c r="L562" i="7"/>
  <c r="F355" i="7"/>
  <c r="M580" i="7"/>
  <c r="L580" i="7"/>
  <c r="L591" i="7"/>
  <c r="M591" i="7"/>
  <c r="M678" i="7"/>
  <c r="L678" i="7"/>
  <c r="M573" i="7"/>
  <c r="L573" i="7"/>
  <c r="M569" i="7"/>
  <c r="L569" i="7"/>
  <c r="F117" i="7"/>
  <c r="K117" i="7" s="1"/>
  <c r="K116" i="7"/>
  <c r="F370" i="7"/>
  <c r="M433" i="7"/>
  <c r="L433" i="7"/>
  <c r="F321" i="7"/>
  <c r="K321" i="7" s="1"/>
  <c r="K320" i="7"/>
  <c r="L378" i="7"/>
  <c r="O378" i="7"/>
  <c r="L570" i="7"/>
  <c r="M570" i="7"/>
  <c r="L613" i="7"/>
  <c r="M613" i="7"/>
  <c r="J58" i="7"/>
  <c r="K58" i="7" s="1"/>
  <c r="L58" i="7" s="1"/>
  <c r="I62" i="7"/>
  <c r="J62" i="7" s="1"/>
  <c r="K62" i="7" s="1"/>
  <c r="L62" i="7" s="1"/>
  <c r="K401" i="7"/>
  <c r="F402" i="7"/>
  <c r="F642" i="7"/>
  <c r="G641" i="7"/>
  <c r="K641" i="7" s="1"/>
  <c r="K325" i="7"/>
  <c r="F327" i="7"/>
  <c r="M575" i="7"/>
  <c r="L575" i="7"/>
  <c r="M55" i="7"/>
  <c r="L55" i="7"/>
  <c r="M156" i="7"/>
  <c r="L156" i="7"/>
  <c r="L319" i="7"/>
  <c r="P319" i="7"/>
  <c r="K79" i="7"/>
  <c r="L79" i="7" s="1"/>
  <c r="M79" i="7" s="1"/>
  <c r="F84" i="7"/>
  <c r="K84" i="7" s="1"/>
  <c r="L84" i="7" s="1"/>
  <c r="M84" i="7" s="1"/>
  <c r="F685" i="7"/>
  <c r="G684" i="7"/>
  <c r="K684" i="7" s="1"/>
  <c r="M76" i="7"/>
  <c r="K412" i="7"/>
  <c r="F413" i="7"/>
  <c r="M566" i="7"/>
  <c r="L566" i="7"/>
  <c r="G688" i="7"/>
  <c r="K688" i="7" s="1"/>
  <c r="F689" i="7"/>
  <c r="F244" i="7"/>
  <c r="K467" i="7"/>
  <c r="F468" i="7"/>
  <c r="L581" i="7"/>
  <c r="M581" i="7"/>
  <c r="K323" i="7"/>
  <c r="F324" i="7"/>
  <c r="K324" i="7" s="1"/>
  <c r="M466" i="7"/>
  <c r="L466" i="7"/>
  <c r="M426" i="7"/>
  <c r="L426" i="7"/>
  <c r="K309" i="7"/>
  <c r="F314" i="7"/>
  <c r="K314" i="7" s="1"/>
  <c r="K556" i="7"/>
  <c r="F557" i="7"/>
  <c r="L515" i="7"/>
  <c r="L518" i="7" s="1"/>
  <c r="B44" i="8" s="1"/>
  <c r="M515" i="7"/>
  <c r="M518" i="7" s="1"/>
  <c r="L19" i="7"/>
  <c r="M19" i="7"/>
  <c r="K313" i="7"/>
  <c r="F315" i="7"/>
  <c r="K315" i="7" s="1"/>
  <c r="F700" i="7"/>
  <c r="G699" i="7"/>
  <c r="F650" i="7"/>
  <c r="G649" i="7"/>
  <c r="K649" i="7" s="1"/>
  <c r="F504" i="7"/>
  <c r="K503" i="7"/>
  <c r="F436" i="7"/>
  <c r="K436" i="7" s="1"/>
  <c r="L99" i="7"/>
  <c r="M99" i="7"/>
  <c r="L88" i="7"/>
  <c r="M88" i="7"/>
  <c r="M629" i="7"/>
  <c r="L629" i="7"/>
  <c r="P310" i="7"/>
  <c r="L310" i="7"/>
  <c r="L501" i="7"/>
  <c r="M501" i="7"/>
  <c r="P306" i="7"/>
  <c r="L306" i="7"/>
  <c r="Q148" i="7"/>
  <c r="L148" i="7"/>
  <c r="F158" i="7"/>
  <c r="K157" i="7"/>
  <c r="M16" i="7"/>
  <c r="L16" i="7"/>
  <c r="M479" i="7"/>
  <c r="L479" i="7"/>
  <c r="L502" i="7"/>
  <c r="M502" i="7"/>
  <c r="L143" i="7"/>
  <c r="Q143" i="7"/>
  <c r="K451" i="7"/>
  <c r="L451" i="7" s="1"/>
  <c r="F452" i="7"/>
  <c r="K452" i="7" s="1"/>
  <c r="L452" i="7" s="1"/>
  <c r="M92" i="7"/>
  <c r="L92" i="7"/>
  <c r="L565" i="7"/>
  <c r="M565" i="7"/>
  <c r="F102" i="7"/>
  <c r="K101" i="7"/>
  <c r="M600" i="7"/>
  <c r="L600" i="7"/>
  <c r="L568" i="7"/>
  <c r="M568" i="7"/>
  <c r="M687" i="7"/>
  <c r="L687" i="7"/>
  <c r="L535" i="7"/>
  <c r="M535" i="7"/>
  <c r="M487" i="7"/>
  <c r="L487" i="7"/>
  <c r="K607" i="7"/>
  <c r="F608" i="7"/>
  <c r="K302" i="7"/>
  <c r="F303" i="7"/>
  <c r="K303" i="7" s="1"/>
  <c r="F475" i="7"/>
  <c r="K475" i="7" s="1"/>
  <c r="L308" i="7"/>
  <c r="P308" i="7"/>
  <c r="M683" i="7"/>
  <c r="L683" i="7"/>
  <c r="F389" i="7"/>
  <c r="I388" i="7"/>
  <c r="J388" i="7" s="1"/>
  <c r="M411" i="7"/>
  <c r="L411" i="7"/>
  <c r="F186" i="7"/>
  <c r="L18" i="7"/>
  <c r="M18" i="7"/>
  <c r="M599" i="4"/>
  <c r="G600" i="4"/>
  <c r="K600" i="4" s="1"/>
  <c r="L600" i="4" s="1"/>
  <c r="M598" i="4"/>
  <c r="L598" i="4"/>
  <c r="G185" i="7" l="1"/>
  <c r="G184" i="7"/>
  <c r="G188" i="7"/>
  <c r="G187" i="7"/>
  <c r="G183" i="7"/>
  <c r="G186" i="7"/>
  <c r="M30" i="7"/>
  <c r="M48" i="7" s="1"/>
  <c r="E7" i="8" s="1"/>
  <c r="G239" i="7"/>
  <c r="G241" i="7"/>
  <c r="L140" i="7"/>
  <c r="L144" i="7" s="1"/>
  <c r="B15" i="8" s="1"/>
  <c r="Q140" i="7"/>
  <c r="Q141" i="7"/>
  <c r="L142" i="7"/>
  <c r="L31" i="7"/>
  <c r="G120" i="3"/>
  <c r="G123" i="3"/>
  <c r="G125" i="3" s="1"/>
  <c r="G127" i="3" s="1"/>
  <c r="G124" i="3"/>
  <c r="G126" i="3" s="1"/>
  <c r="G128" i="3" s="1"/>
  <c r="G191" i="7"/>
  <c r="G190" i="7"/>
  <c r="G189" i="7"/>
  <c r="G127" i="7"/>
  <c r="G131" i="7"/>
  <c r="M90" i="7"/>
  <c r="L46" i="7"/>
  <c r="L472" i="7"/>
  <c r="M259" i="7"/>
  <c r="L212" i="7"/>
  <c r="F215" i="7"/>
  <c r="K214" i="7"/>
  <c r="L213" i="7"/>
  <c r="Q213" i="7"/>
  <c r="M257" i="7"/>
  <c r="G664" i="7"/>
  <c r="K664" i="7" s="1"/>
  <c r="F665" i="7"/>
  <c r="G665" i="7" s="1"/>
  <c r="K665" i="7" s="1"/>
  <c r="L480" i="7"/>
  <c r="M480" i="7"/>
  <c r="M663" i="7"/>
  <c r="F482" i="7"/>
  <c r="K482" i="7" s="1"/>
  <c r="O544" i="7"/>
  <c r="M637" i="7"/>
  <c r="O550" i="7"/>
  <c r="L602" i="7"/>
  <c r="B61" i="8" s="1"/>
  <c r="M73" i="7"/>
  <c r="M617" i="7"/>
  <c r="E23" i="8" s="1"/>
  <c r="L617" i="7"/>
  <c r="B23" i="8" s="1"/>
  <c r="L454" i="7"/>
  <c r="B54" i="8" s="1"/>
  <c r="M85" i="7"/>
  <c r="L637" i="7"/>
  <c r="K388" i="7"/>
  <c r="O388" i="7" s="1"/>
  <c r="L544" i="7"/>
  <c r="B52" i="8" s="1"/>
  <c r="L490" i="7"/>
  <c r="B49" i="8" s="1"/>
  <c r="B127" i="8" s="1"/>
  <c r="M602" i="7"/>
  <c r="M490" i="7"/>
  <c r="L550" i="7"/>
  <c r="B56" i="8" s="1"/>
  <c r="F558" i="7"/>
  <c r="K558" i="7" s="1"/>
  <c r="K557" i="7"/>
  <c r="M101" i="7"/>
  <c r="L101" i="7"/>
  <c r="F159" i="7"/>
  <c r="M556" i="7"/>
  <c r="L556" i="7"/>
  <c r="M649" i="7"/>
  <c r="L649" i="7"/>
  <c r="G650" i="7"/>
  <c r="F651" i="7"/>
  <c r="F469" i="7"/>
  <c r="F332" i="7"/>
  <c r="K332" i="7" s="1"/>
  <c r="K327" i="7"/>
  <c r="P325" i="7"/>
  <c r="L325" i="7"/>
  <c r="L149" i="7"/>
  <c r="Q149" i="7"/>
  <c r="L641" i="7"/>
  <c r="M641" i="7"/>
  <c r="M117" i="7"/>
  <c r="L117" i="7"/>
  <c r="M586" i="7"/>
  <c r="M475" i="7"/>
  <c r="L475" i="7"/>
  <c r="M474" i="7"/>
  <c r="L474" i="7"/>
  <c r="L436" i="7"/>
  <c r="M436" i="7"/>
  <c r="F414" i="7"/>
  <c r="K413" i="7"/>
  <c r="F403" i="7"/>
  <c r="K402" i="7"/>
  <c r="L321" i="7"/>
  <c r="P321" i="7"/>
  <c r="M522" i="7"/>
  <c r="L522" i="7"/>
  <c r="M157" i="7"/>
  <c r="L157" i="7"/>
  <c r="L503" i="7"/>
  <c r="M503" i="7"/>
  <c r="P326" i="7"/>
  <c r="L326" i="7"/>
  <c r="M710" i="7"/>
  <c r="L710" i="7"/>
  <c r="K102" i="7"/>
  <c r="F103" i="7"/>
  <c r="L314" i="7"/>
  <c r="P314" i="7"/>
  <c r="M668" i="7"/>
  <c r="L668" i="7"/>
  <c r="F382" i="7"/>
  <c r="K381" i="7"/>
  <c r="P309" i="7"/>
  <c r="L309" i="7"/>
  <c r="F686" i="7"/>
  <c r="G686" i="7" s="1"/>
  <c r="K686" i="7" s="1"/>
  <c r="G685" i="7"/>
  <c r="K685" i="7" s="1"/>
  <c r="O380" i="7"/>
  <c r="L380" i="7"/>
  <c r="F371" i="7"/>
  <c r="F594" i="7"/>
  <c r="K594" i="7" s="1"/>
  <c r="K593" i="7"/>
  <c r="F273" i="7"/>
  <c r="K273" i="7" s="1"/>
  <c r="K272" i="7"/>
  <c r="F187" i="7"/>
  <c r="F151" i="7"/>
  <c r="K151" i="7" s="1"/>
  <c r="K150" i="7"/>
  <c r="L679" i="7"/>
  <c r="G700" i="7"/>
  <c r="K700" i="7" s="1"/>
  <c r="F701" i="7"/>
  <c r="M116" i="7"/>
  <c r="L116" i="7"/>
  <c r="L586" i="7"/>
  <c r="B59" i="8" s="1"/>
  <c r="P315" i="7"/>
  <c r="L315" i="7"/>
  <c r="M428" i="7"/>
  <c r="L428" i="7"/>
  <c r="L303" i="7"/>
  <c r="P303" i="7"/>
  <c r="L324" i="7"/>
  <c r="P324" i="7"/>
  <c r="F690" i="7"/>
  <c r="G689" i="7"/>
  <c r="K689" i="7" s="1"/>
  <c r="L412" i="7"/>
  <c r="M412" i="7"/>
  <c r="L73" i="7"/>
  <c r="B8" i="8" s="1"/>
  <c r="M401" i="7"/>
  <c r="L401" i="7"/>
  <c r="K389" i="7"/>
  <c r="F390" i="7"/>
  <c r="F609" i="7"/>
  <c r="K609" i="7" s="1"/>
  <c r="K608" i="7"/>
  <c r="M93" i="7"/>
  <c r="L93" i="7"/>
  <c r="M607" i="7"/>
  <c r="L607" i="7"/>
  <c r="F505" i="7"/>
  <c r="K504" i="7"/>
  <c r="K328" i="7"/>
  <c r="F331" i="7"/>
  <c r="F670" i="7"/>
  <c r="G669" i="7"/>
  <c r="K669" i="7" s="1"/>
  <c r="O379" i="7"/>
  <c r="L379" i="7"/>
  <c r="M684" i="7"/>
  <c r="L684" i="7"/>
  <c r="F169" i="7"/>
  <c r="L592" i="7"/>
  <c r="M592" i="7"/>
  <c r="M467" i="7"/>
  <c r="L467" i="7"/>
  <c r="L421" i="7"/>
  <c r="M421" i="7"/>
  <c r="M679" i="7"/>
  <c r="M422" i="7"/>
  <c r="L422" i="7"/>
  <c r="P313" i="7"/>
  <c r="L313" i="7"/>
  <c r="F245" i="7"/>
  <c r="G642" i="7"/>
  <c r="K642" i="7" s="1"/>
  <c r="F643" i="7"/>
  <c r="G643" i="7" s="1"/>
  <c r="K643" i="7" s="1"/>
  <c r="L320" i="7"/>
  <c r="P320" i="7"/>
  <c r="F524" i="7"/>
  <c r="K523" i="7"/>
  <c r="P302" i="7"/>
  <c r="L302" i="7"/>
  <c r="P323" i="7"/>
  <c r="L323" i="7"/>
  <c r="L688" i="7"/>
  <c r="M688" i="7"/>
  <c r="L85" i="7"/>
  <c r="B9" i="8" s="1"/>
  <c r="F356" i="7"/>
  <c r="M711" i="7"/>
  <c r="L711" i="7"/>
  <c r="M94" i="7"/>
  <c r="L94" i="7"/>
  <c r="M600" i="4"/>
  <c r="G601" i="4"/>
  <c r="K601" i="4" s="1"/>
  <c r="Q144" i="7" l="1"/>
  <c r="Q15" i="8" s="1"/>
  <c r="L48" i="7"/>
  <c r="B7" i="8" s="1"/>
  <c r="G225" i="7"/>
  <c r="G122" i="3"/>
  <c r="G227" i="7" s="1"/>
  <c r="G121" i="3"/>
  <c r="G235" i="7"/>
  <c r="G234" i="7"/>
  <c r="G233" i="7"/>
  <c r="G228" i="7"/>
  <c r="G223" i="7"/>
  <c r="G229" i="7"/>
  <c r="G226" i="7"/>
  <c r="E9" i="8"/>
  <c r="E8" i="8"/>
  <c r="L664" i="7"/>
  <c r="M664" i="7"/>
  <c r="M482" i="7"/>
  <c r="L482" i="7"/>
  <c r="Q214" i="7"/>
  <c r="L214" i="7"/>
  <c r="M665" i="7"/>
  <c r="L665" i="7"/>
  <c r="K215" i="7"/>
  <c r="F216" i="7"/>
  <c r="K216" i="7" s="1"/>
  <c r="L388" i="7"/>
  <c r="L316" i="7"/>
  <c r="B32" i="8" s="1"/>
  <c r="P316" i="7"/>
  <c r="M96" i="7"/>
  <c r="E10" i="8" s="1"/>
  <c r="L118" i="7"/>
  <c r="B12" i="8" s="1"/>
  <c r="L96" i="7"/>
  <c r="B10" i="8" s="1"/>
  <c r="M118" i="7"/>
  <c r="E12" i="8" s="1"/>
  <c r="M643" i="7"/>
  <c r="L643" i="7"/>
  <c r="M608" i="7"/>
  <c r="L608" i="7"/>
  <c r="Q150" i="7"/>
  <c r="L150" i="7"/>
  <c r="L413" i="7"/>
  <c r="M413" i="7"/>
  <c r="F652" i="7"/>
  <c r="G651" i="7"/>
  <c r="K651" i="7" s="1"/>
  <c r="L594" i="7"/>
  <c r="M594" i="7"/>
  <c r="M102" i="7"/>
  <c r="L102" i="7"/>
  <c r="K414" i="7"/>
  <c r="F415" i="7"/>
  <c r="K415" i="7" s="1"/>
  <c r="P327" i="7"/>
  <c r="L327" i="7"/>
  <c r="L557" i="7"/>
  <c r="M557" i="7"/>
  <c r="M669" i="7"/>
  <c r="L669" i="7"/>
  <c r="F391" i="7"/>
  <c r="I390" i="7"/>
  <c r="J390" i="7" s="1"/>
  <c r="M689" i="7"/>
  <c r="L689" i="7"/>
  <c r="P332" i="7"/>
  <c r="L332" i="7"/>
  <c r="L558" i="7"/>
  <c r="M558" i="7"/>
  <c r="F246" i="7"/>
  <c r="F671" i="7"/>
  <c r="G671" i="7" s="1"/>
  <c r="K671" i="7" s="1"/>
  <c r="G670" i="7"/>
  <c r="K670" i="7" s="1"/>
  <c r="L504" i="7"/>
  <c r="M504" i="7"/>
  <c r="G690" i="7"/>
  <c r="K690" i="7" s="1"/>
  <c r="F691" i="7"/>
  <c r="L381" i="7"/>
  <c r="O381" i="7"/>
  <c r="F333" i="7"/>
  <c r="K333" i="7" s="1"/>
  <c r="K331" i="7"/>
  <c r="K382" i="7"/>
  <c r="F383" i="7"/>
  <c r="F470" i="7"/>
  <c r="K470" i="7" s="1"/>
  <c r="K469" i="7"/>
  <c r="G701" i="7"/>
  <c r="K701" i="7" s="1"/>
  <c r="F703" i="7"/>
  <c r="L523" i="7"/>
  <c r="M523" i="7"/>
  <c r="F188" i="7"/>
  <c r="F525" i="7"/>
  <c r="K524" i="7"/>
  <c r="L593" i="7"/>
  <c r="M593" i="7"/>
  <c r="K103" i="7"/>
  <c r="F104" i="7"/>
  <c r="M642" i="7"/>
  <c r="L642" i="7"/>
  <c r="M609" i="7"/>
  <c r="L609" i="7"/>
  <c r="Q151" i="7"/>
  <c r="L151" i="7"/>
  <c r="F357" i="7"/>
  <c r="M685" i="7"/>
  <c r="L685" i="7"/>
  <c r="L402" i="7"/>
  <c r="M402" i="7"/>
  <c r="F160" i="7"/>
  <c r="K160" i="7" s="1"/>
  <c r="K159" i="7"/>
  <c r="O389" i="7"/>
  <c r="L389" i="7"/>
  <c r="F506" i="7"/>
  <c r="K505" i="7"/>
  <c r="P328" i="7"/>
  <c r="L328" i="7"/>
  <c r="F170" i="7"/>
  <c r="L700" i="7"/>
  <c r="M700" i="7"/>
  <c r="F372" i="7"/>
  <c r="L272" i="7"/>
  <c r="M272" i="7"/>
  <c r="L273" i="7"/>
  <c r="M273" i="7"/>
  <c r="L686" i="7"/>
  <c r="M686" i="7"/>
  <c r="K403" i="7"/>
  <c r="F404" i="7"/>
  <c r="M601" i="4"/>
  <c r="M602" i="4" s="1"/>
  <c r="L601" i="4"/>
  <c r="L602" i="4" s="1"/>
  <c r="I110" i="4"/>
  <c r="F110" i="4"/>
  <c r="G224" i="7" l="1"/>
  <c r="G222" i="7"/>
  <c r="G221" i="7"/>
  <c r="L216" i="7"/>
  <c r="Q216" i="7"/>
  <c r="L215" i="7"/>
  <c r="Q215" i="7"/>
  <c r="M645" i="7"/>
  <c r="M595" i="7"/>
  <c r="E61" i="6"/>
  <c r="E61" i="8"/>
  <c r="Q152" i="7"/>
  <c r="Q16" i="8" s="1"/>
  <c r="L610" i="7"/>
  <c r="B62" i="8" s="1"/>
  <c r="L152" i="7"/>
  <c r="B16" i="8" s="1"/>
  <c r="L645" i="7"/>
  <c r="B61" i="6"/>
  <c r="B148" i="6" s="1"/>
  <c r="B148" i="8"/>
  <c r="F392" i="7"/>
  <c r="K391" i="7"/>
  <c r="F507" i="7"/>
  <c r="K506" i="7"/>
  <c r="F526" i="7"/>
  <c r="K526" i="7" s="1"/>
  <c r="M651" i="7"/>
  <c r="L651" i="7"/>
  <c r="M159" i="7"/>
  <c r="L159" i="7"/>
  <c r="L469" i="7"/>
  <c r="M469" i="7"/>
  <c r="G691" i="7"/>
  <c r="K691" i="7" s="1"/>
  <c r="F692" i="7"/>
  <c r="G692" i="7" s="1"/>
  <c r="K692" i="7" s="1"/>
  <c r="F653" i="7"/>
  <c r="G652" i="7"/>
  <c r="K652" i="7" s="1"/>
  <c r="L403" i="7"/>
  <c r="M403" i="7"/>
  <c r="F358" i="7"/>
  <c r="L505" i="7"/>
  <c r="M505" i="7"/>
  <c r="M701" i="7"/>
  <c r="L701" i="7"/>
  <c r="M470" i="7"/>
  <c r="L470" i="7"/>
  <c r="M559" i="7"/>
  <c r="F171" i="7"/>
  <c r="F105" i="7"/>
  <c r="K104" i="7"/>
  <c r="L103" i="7"/>
  <c r="M103" i="7"/>
  <c r="L382" i="7"/>
  <c r="O382" i="7"/>
  <c r="L331" i="7"/>
  <c r="P331" i="7"/>
  <c r="L671" i="7"/>
  <c r="M671" i="7"/>
  <c r="L524" i="7"/>
  <c r="M524" i="7"/>
  <c r="F704" i="7"/>
  <c r="G703" i="7"/>
  <c r="K703" i="7" s="1"/>
  <c r="L160" i="7"/>
  <c r="M160" i="7"/>
  <c r="M690" i="7"/>
  <c r="L690" i="7"/>
  <c r="L559" i="7"/>
  <c r="B57" i="8" s="1"/>
  <c r="F384" i="7"/>
  <c r="K383" i="7"/>
  <c r="M670" i="7"/>
  <c r="L670" i="7"/>
  <c r="M415" i="7"/>
  <c r="L415" i="7"/>
  <c r="F405" i="7"/>
  <c r="K405" i="7" s="1"/>
  <c r="K404" i="7"/>
  <c r="L595" i="7"/>
  <c r="B60" i="8" s="1"/>
  <c r="L333" i="7"/>
  <c r="P333" i="7"/>
  <c r="F247" i="7"/>
  <c r="K390" i="7"/>
  <c r="M414" i="7"/>
  <c r="L414" i="7"/>
  <c r="M610" i="7"/>
  <c r="J117" i="4"/>
  <c r="J116" i="4"/>
  <c r="I115" i="4"/>
  <c r="J115" i="4" s="1"/>
  <c r="I114" i="4"/>
  <c r="J114" i="4" s="1"/>
  <c r="J113" i="4"/>
  <c r="I112" i="4"/>
  <c r="J112" i="4" s="1"/>
  <c r="J111" i="4"/>
  <c r="J110" i="4"/>
  <c r="A77" i="6"/>
  <c r="A76" i="6"/>
  <c r="A75" i="6"/>
  <c r="P334" i="7" l="1"/>
  <c r="L334" i="7"/>
  <c r="B33" i="8" s="1"/>
  <c r="M672" i="7"/>
  <c r="L672" i="7"/>
  <c r="L652" i="7"/>
  <c r="M652" i="7"/>
  <c r="M404" i="7"/>
  <c r="L404" i="7"/>
  <c r="L383" i="7"/>
  <c r="O383" i="7"/>
  <c r="K105" i="7"/>
  <c r="F106" i="7"/>
  <c r="K106" i="7" s="1"/>
  <c r="M405" i="7"/>
  <c r="L405" i="7"/>
  <c r="K384" i="7"/>
  <c r="F385" i="7"/>
  <c r="M526" i="7"/>
  <c r="L526" i="7"/>
  <c r="L703" i="7"/>
  <c r="M703" i="7"/>
  <c r="F705" i="7"/>
  <c r="G704" i="7"/>
  <c r="K704" i="7" s="1"/>
  <c r="F172" i="7"/>
  <c r="M692" i="7"/>
  <c r="L692" i="7"/>
  <c r="L104" i="7"/>
  <c r="M104" i="7"/>
  <c r="G653" i="7"/>
  <c r="F654" i="7"/>
  <c r="M691" i="7"/>
  <c r="L691" i="7"/>
  <c r="M506" i="7"/>
  <c r="L506" i="7"/>
  <c r="O390" i="7"/>
  <c r="L390" i="7"/>
  <c r="F508" i="7"/>
  <c r="K508" i="7" s="1"/>
  <c r="K507" i="7"/>
  <c r="F248" i="7"/>
  <c r="L391" i="7"/>
  <c r="O391" i="7"/>
  <c r="F359" i="7"/>
  <c r="K392" i="7"/>
  <c r="F393" i="7"/>
  <c r="G111" i="4"/>
  <c r="K111" i="4" s="1"/>
  <c r="M111" i="4" s="1"/>
  <c r="G110" i="4"/>
  <c r="K110" i="4" s="1"/>
  <c r="M110" i="4" s="1"/>
  <c r="C134" i="6"/>
  <c r="F92" i="4"/>
  <c r="F88" i="4"/>
  <c r="F89" i="4" s="1"/>
  <c r="I95" i="4"/>
  <c r="J95" i="4" s="1"/>
  <c r="I94" i="4"/>
  <c r="J94" i="4" s="1"/>
  <c r="I93" i="4"/>
  <c r="J93" i="4" s="1"/>
  <c r="I92" i="4"/>
  <c r="J92" i="4" s="1"/>
  <c r="I91" i="4"/>
  <c r="J91" i="4" s="1"/>
  <c r="I90" i="4"/>
  <c r="J90" i="4" s="1"/>
  <c r="J89" i="4"/>
  <c r="I88" i="4"/>
  <c r="J88" i="4" s="1"/>
  <c r="I84" i="4"/>
  <c r="J84" i="4" s="1"/>
  <c r="I83" i="4"/>
  <c r="J83" i="4" s="1"/>
  <c r="I82" i="4"/>
  <c r="J82" i="4" s="1"/>
  <c r="I80" i="4"/>
  <c r="J80" i="4" s="1"/>
  <c r="I78" i="4"/>
  <c r="I76" i="4"/>
  <c r="J76" i="4" s="1"/>
  <c r="F80" i="4"/>
  <c r="F81" i="4" s="1"/>
  <c r="F76" i="4"/>
  <c r="G76" i="4" s="1"/>
  <c r="F77" i="4"/>
  <c r="G77" i="4" s="1"/>
  <c r="J77" i="4"/>
  <c r="I106" i="4"/>
  <c r="J106" i="4" s="1"/>
  <c r="I105" i="4"/>
  <c r="J105" i="4" s="1"/>
  <c r="I104" i="4"/>
  <c r="J104" i="4" s="1"/>
  <c r="I102" i="4"/>
  <c r="J102" i="4" s="1"/>
  <c r="I101" i="4"/>
  <c r="J100" i="4"/>
  <c r="I99" i="4"/>
  <c r="J99" i="4" s="1"/>
  <c r="F99" i="4"/>
  <c r="F100" i="4" s="1"/>
  <c r="F229" i="3"/>
  <c r="I103" i="4"/>
  <c r="J103" i="4" s="1"/>
  <c r="I81" i="4"/>
  <c r="J81" i="4" s="1"/>
  <c r="I79" i="4"/>
  <c r="J79" i="4" s="1"/>
  <c r="F95" i="3"/>
  <c r="I592" i="4"/>
  <c r="J592" i="4" s="1"/>
  <c r="I591" i="4"/>
  <c r="J591" i="4" s="1"/>
  <c r="I590" i="4"/>
  <c r="J590" i="4" s="1"/>
  <c r="F590" i="4"/>
  <c r="G590" i="4" s="1"/>
  <c r="F589" i="4"/>
  <c r="G589" i="4" s="1"/>
  <c r="I594" i="4"/>
  <c r="J594" i="4" s="1"/>
  <c r="I593" i="4"/>
  <c r="J593" i="4" s="1"/>
  <c r="I589" i="4"/>
  <c r="J589" i="4" s="1"/>
  <c r="I585" i="4"/>
  <c r="J585" i="4" s="1"/>
  <c r="I582" i="4"/>
  <c r="J582" i="4" s="1"/>
  <c r="I581" i="4"/>
  <c r="J581" i="4" s="1"/>
  <c r="I584" i="4"/>
  <c r="I583" i="4"/>
  <c r="J583" i="4" s="1"/>
  <c r="F583" i="4"/>
  <c r="F584" i="4" s="1"/>
  <c r="F580" i="4"/>
  <c r="G580" i="4" s="1"/>
  <c r="I580" i="4"/>
  <c r="J580" i="4" s="1"/>
  <c r="I570" i="4"/>
  <c r="J570" i="4" s="1"/>
  <c r="I573" i="4"/>
  <c r="J573" i="4" s="1"/>
  <c r="I563" i="4"/>
  <c r="J563" i="4" s="1"/>
  <c r="F575" i="4"/>
  <c r="F574" i="4"/>
  <c r="F571" i="4"/>
  <c r="F570" i="4"/>
  <c r="F569" i="4"/>
  <c r="F566" i="4"/>
  <c r="F567" i="4" s="1"/>
  <c r="F563" i="4"/>
  <c r="F562" i="4"/>
  <c r="I576" i="4"/>
  <c r="J576" i="4" s="1"/>
  <c r="I575" i="4"/>
  <c r="J575" i="4" s="1"/>
  <c r="I572" i="4"/>
  <c r="J572" i="4" s="1"/>
  <c r="I571" i="4"/>
  <c r="J571" i="4" s="1"/>
  <c r="I569" i="4"/>
  <c r="J569" i="4" s="1"/>
  <c r="I568" i="4"/>
  <c r="J568" i="4" s="1"/>
  <c r="J567" i="4"/>
  <c r="I566" i="4"/>
  <c r="J566" i="4" s="1"/>
  <c r="I565" i="4"/>
  <c r="J565" i="4" s="1"/>
  <c r="I562" i="4"/>
  <c r="J562" i="4" s="1"/>
  <c r="I558" i="4"/>
  <c r="J558" i="4" s="1"/>
  <c r="J557" i="4"/>
  <c r="J556" i="4"/>
  <c r="I555" i="4"/>
  <c r="J555" i="4" s="1"/>
  <c r="I553" i="4"/>
  <c r="J553" i="4" s="1"/>
  <c r="F553" i="4"/>
  <c r="J554" i="4"/>
  <c r="I467" i="4"/>
  <c r="I472" i="4"/>
  <c r="I470" i="4"/>
  <c r="I685" i="4"/>
  <c r="J685" i="4" s="1"/>
  <c r="I526" i="4"/>
  <c r="I523" i="4"/>
  <c r="I517" i="4"/>
  <c r="J517" i="4" s="1"/>
  <c r="I514" i="4"/>
  <c r="J514" i="4" s="1"/>
  <c r="I515" i="4"/>
  <c r="I512" i="4"/>
  <c r="I686" i="4"/>
  <c r="J686" i="4" s="1"/>
  <c r="I684" i="4"/>
  <c r="J684" i="4" s="1"/>
  <c r="F687" i="4"/>
  <c r="F688" i="4" s="1"/>
  <c r="F682" i="4"/>
  <c r="Q693" i="4"/>
  <c r="P693" i="4"/>
  <c r="O693" i="4"/>
  <c r="N693" i="4"/>
  <c r="I692" i="4"/>
  <c r="J692" i="4" s="1"/>
  <c r="I691" i="4"/>
  <c r="J691" i="4" s="1"/>
  <c r="I690" i="4"/>
  <c r="J690" i="4" s="1"/>
  <c r="I689" i="4"/>
  <c r="J689" i="4" s="1"/>
  <c r="I688" i="4"/>
  <c r="J688" i="4" s="1"/>
  <c r="I687" i="4"/>
  <c r="J687" i="4" s="1"/>
  <c r="I683" i="4"/>
  <c r="J683" i="4" s="1"/>
  <c r="I682" i="4"/>
  <c r="J682" i="4" s="1"/>
  <c r="I643" i="4"/>
  <c r="I640" i="4"/>
  <c r="F644" i="4"/>
  <c r="I642" i="4"/>
  <c r="F639" i="4"/>
  <c r="F640" i="4" s="1"/>
  <c r="F641" i="4" s="1"/>
  <c r="F642" i="4" s="1"/>
  <c r="F643" i="4" s="1"/>
  <c r="A36" i="6"/>
  <c r="A121" i="6" s="1"/>
  <c r="A35" i="6"/>
  <c r="A120" i="6" s="1"/>
  <c r="A34" i="6"/>
  <c r="A119" i="6" s="1"/>
  <c r="F100" i="3" l="1"/>
  <c r="L693" i="7"/>
  <c r="L507" i="7"/>
  <c r="M507" i="7"/>
  <c r="M508" i="7"/>
  <c r="L508" i="7"/>
  <c r="F386" i="7"/>
  <c r="K386" i="7" s="1"/>
  <c r="K385" i="7"/>
  <c r="F173" i="7"/>
  <c r="F249" i="7"/>
  <c r="M106" i="7"/>
  <c r="L106" i="7"/>
  <c r="L384" i="7"/>
  <c r="O384" i="7"/>
  <c r="M693" i="7"/>
  <c r="F655" i="7"/>
  <c r="G654" i="7"/>
  <c r="K654" i="7" s="1"/>
  <c r="M105" i="7"/>
  <c r="L105" i="7"/>
  <c r="L704" i="7"/>
  <c r="M704" i="7"/>
  <c r="F394" i="7"/>
  <c r="I393" i="7"/>
  <c r="J393" i="7" s="1"/>
  <c r="G705" i="7"/>
  <c r="K705" i="7" s="1"/>
  <c r="F706" i="7"/>
  <c r="L392" i="7"/>
  <c r="O392" i="7"/>
  <c r="L110" i="4"/>
  <c r="L111" i="4"/>
  <c r="F113" i="4"/>
  <c r="G112" i="4"/>
  <c r="K112" i="4" s="1"/>
  <c r="M112" i="4" s="1"/>
  <c r="G100" i="4"/>
  <c r="K100" i="4" s="1"/>
  <c r="G89" i="4"/>
  <c r="K89" i="4" s="1"/>
  <c r="M89" i="4" s="1"/>
  <c r="F90" i="4"/>
  <c r="G88" i="4"/>
  <c r="K88" i="4" s="1"/>
  <c r="M88" i="4" s="1"/>
  <c r="G80" i="4"/>
  <c r="K80" i="4" s="1"/>
  <c r="F82" i="4"/>
  <c r="G81" i="4"/>
  <c r="K81" i="4" s="1"/>
  <c r="L81" i="4" s="1"/>
  <c r="M81" i="4" s="1"/>
  <c r="F78" i="4"/>
  <c r="K77" i="4"/>
  <c r="L77" i="4" s="1"/>
  <c r="M77" i="4" s="1"/>
  <c r="F101" i="4"/>
  <c r="G99" i="4"/>
  <c r="K99" i="4" s="1"/>
  <c r="K76" i="4"/>
  <c r="L76" i="4" s="1"/>
  <c r="F591" i="4"/>
  <c r="K590" i="4"/>
  <c r="K589" i="4"/>
  <c r="F581" i="4"/>
  <c r="G581" i="4" s="1"/>
  <c r="K581" i="4" s="1"/>
  <c r="L581" i="4" s="1"/>
  <c r="F582" i="4"/>
  <c r="G582" i="4" s="1"/>
  <c r="K582" i="4" s="1"/>
  <c r="M582" i="4" s="1"/>
  <c r="G583" i="4"/>
  <c r="K583" i="4" s="1"/>
  <c r="F585" i="4"/>
  <c r="G585" i="4" s="1"/>
  <c r="K585" i="4" s="1"/>
  <c r="G584" i="4"/>
  <c r="K580" i="4"/>
  <c r="F564" i="4"/>
  <c r="F576" i="4"/>
  <c r="I574" i="4"/>
  <c r="J574" i="4" s="1"/>
  <c r="F554" i="4"/>
  <c r="F689" i="4"/>
  <c r="F684" i="4"/>
  <c r="F683" i="4"/>
  <c r="G683" i="4" s="1"/>
  <c r="K683" i="4" s="1"/>
  <c r="I677" i="4"/>
  <c r="J677" i="4" s="1"/>
  <c r="I675" i="4"/>
  <c r="J675" i="4" s="1"/>
  <c r="I678" i="4"/>
  <c r="I676" i="4"/>
  <c r="F675" i="4"/>
  <c r="F648" i="4"/>
  <c r="I656" i="4"/>
  <c r="J656" i="4" s="1"/>
  <c r="I654" i="4"/>
  <c r="J654" i="4" s="1"/>
  <c r="I655" i="4"/>
  <c r="J655" i="4" s="1"/>
  <c r="I652" i="4"/>
  <c r="J652" i="4" s="1"/>
  <c r="I651" i="4"/>
  <c r="J651" i="4" s="1"/>
  <c r="I649" i="4"/>
  <c r="J649" i="4" s="1"/>
  <c r="I671" i="4"/>
  <c r="J671" i="4" s="1"/>
  <c r="I669" i="4"/>
  <c r="J669" i="4" s="1"/>
  <c r="I668" i="4"/>
  <c r="J668" i="4" s="1"/>
  <c r="I670" i="4"/>
  <c r="J670" i="4" s="1"/>
  <c r="I667" i="4"/>
  <c r="J667" i="4" s="1"/>
  <c r="I666" i="4"/>
  <c r="J666" i="4" s="1"/>
  <c r="F666" i="4"/>
  <c r="I662" i="4"/>
  <c r="J662" i="4" s="1"/>
  <c r="I711" i="4"/>
  <c r="J711" i="4" s="1"/>
  <c r="I710" i="4"/>
  <c r="J710" i="4" s="1"/>
  <c r="F103" i="2"/>
  <c r="F105" i="2"/>
  <c r="F106" i="2"/>
  <c r="F107" i="2"/>
  <c r="F108" i="2"/>
  <c r="F109" i="2"/>
  <c r="F111" i="2"/>
  <c r="F112" i="2"/>
  <c r="F113" i="2"/>
  <c r="F114" i="2"/>
  <c r="F115" i="2"/>
  <c r="F116" i="2"/>
  <c r="F118" i="2"/>
  <c r="D118" i="2"/>
  <c r="F709" i="4"/>
  <c r="F710" i="4" s="1"/>
  <c r="I708" i="4"/>
  <c r="A56" i="6"/>
  <c r="A114" i="6" s="1"/>
  <c r="F547" i="4"/>
  <c r="F548" i="4" s="1"/>
  <c r="F549" i="4" s="1"/>
  <c r="I549" i="4"/>
  <c r="J549" i="4" s="1"/>
  <c r="I548" i="4"/>
  <c r="J548" i="4" s="1"/>
  <c r="I547" i="4"/>
  <c r="J547" i="4" s="1"/>
  <c r="F92" i="3"/>
  <c r="I378" i="4"/>
  <c r="I394" i="4"/>
  <c r="I389" i="4"/>
  <c r="I387" i="4"/>
  <c r="I384" i="4"/>
  <c r="K190" i="7" l="1"/>
  <c r="K189" i="7"/>
  <c r="K191" i="7"/>
  <c r="L107" i="7"/>
  <c r="L509" i="7"/>
  <c r="B48" i="8" s="1"/>
  <c r="M107" i="7"/>
  <c r="M509" i="7"/>
  <c r="K393" i="7"/>
  <c r="O393" i="7" s="1"/>
  <c r="L386" i="7"/>
  <c r="O386" i="7"/>
  <c r="F707" i="7"/>
  <c r="G706" i="7"/>
  <c r="K706" i="7" s="1"/>
  <c r="F174" i="7"/>
  <c r="K394" i="7"/>
  <c r="F395" i="7"/>
  <c r="M654" i="7"/>
  <c r="L654" i="7"/>
  <c r="L705" i="7"/>
  <c r="M705" i="7"/>
  <c r="G655" i="7"/>
  <c r="K655" i="7" s="1"/>
  <c r="F656" i="7"/>
  <c r="O385" i="7"/>
  <c r="L385" i="7"/>
  <c r="G113" i="4"/>
  <c r="K113" i="4" s="1"/>
  <c r="M113" i="4" s="1"/>
  <c r="F114" i="4"/>
  <c r="L112" i="4"/>
  <c r="L99" i="4"/>
  <c r="M99" i="4"/>
  <c r="L100" i="4"/>
  <c r="M100" i="4"/>
  <c r="L88" i="4"/>
  <c r="L89" i="4"/>
  <c r="F91" i="4"/>
  <c r="F95" i="4" s="1"/>
  <c r="G90" i="4"/>
  <c r="K90" i="4" s="1"/>
  <c r="M76" i="4"/>
  <c r="F79" i="4"/>
  <c r="G78" i="4"/>
  <c r="G82" i="4"/>
  <c r="K82" i="4" s="1"/>
  <c r="L82" i="4" s="1"/>
  <c r="M82" i="4" s="1"/>
  <c r="F83" i="4"/>
  <c r="G83" i="4" s="1"/>
  <c r="K83" i="4" s="1"/>
  <c r="L83" i="4" s="1"/>
  <c r="M83" i="4" s="1"/>
  <c r="L80" i="4"/>
  <c r="M80" i="4" s="1"/>
  <c r="F102" i="4"/>
  <c r="G101" i="4"/>
  <c r="G591" i="4"/>
  <c r="K591" i="4" s="1"/>
  <c r="M591" i="4" s="1"/>
  <c r="F592" i="4"/>
  <c r="M589" i="4"/>
  <c r="L589" i="4"/>
  <c r="L590" i="4"/>
  <c r="M590" i="4"/>
  <c r="L582" i="4"/>
  <c r="M581" i="4"/>
  <c r="F71" i="3"/>
  <c r="F93" i="3"/>
  <c r="G689" i="4" s="1"/>
  <c r="K689" i="4" s="1"/>
  <c r="G682" i="4"/>
  <c r="K682" i="4" s="1"/>
  <c r="L682" i="4" s="1"/>
  <c r="M585" i="4"/>
  <c r="L585" i="4"/>
  <c r="M580" i="4"/>
  <c r="L580" i="4"/>
  <c r="M583" i="4"/>
  <c r="L583" i="4"/>
  <c r="F565" i="4"/>
  <c r="F555" i="4"/>
  <c r="M683" i="4"/>
  <c r="L683" i="4"/>
  <c r="F685" i="4"/>
  <c r="G684" i="4"/>
  <c r="K684" i="4" s="1"/>
  <c r="F690" i="4"/>
  <c r="F649" i="4"/>
  <c r="F650" i="4" s="1"/>
  <c r="F667" i="4"/>
  <c r="F711" i="4"/>
  <c r="I460" i="4"/>
  <c r="I461" i="4"/>
  <c r="I513" i="4"/>
  <c r="M119" i="7" l="1"/>
  <c r="M121" i="7" s="1"/>
  <c r="E11" i="8"/>
  <c r="L119" i="7"/>
  <c r="L121" i="7" s="1"/>
  <c r="B11" i="8"/>
  <c r="L191" i="7"/>
  <c r="Q191" i="7"/>
  <c r="Q189" i="7"/>
  <c r="L189" i="7"/>
  <c r="Q190" i="7"/>
  <c r="L190" i="7"/>
  <c r="L393" i="7"/>
  <c r="M706" i="7"/>
  <c r="L706" i="7"/>
  <c r="G707" i="7"/>
  <c r="K707" i="7" s="1"/>
  <c r="F708" i="7"/>
  <c r="G708" i="7" s="1"/>
  <c r="K708" i="7" s="1"/>
  <c r="F657" i="7"/>
  <c r="G656" i="7"/>
  <c r="K656" i="7" s="1"/>
  <c r="L655" i="7"/>
  <c r="M655" i="7"/>
  <c r="I395" i="7"/>
  <c r="J395" i="7" s="1"/>
  <c r="L394" i="7"/>
  <c r="O394" i="7"/>
  <c r="F175" i="7"/>
  <c r="G114" i="4"/>
  <c r="K114" i="4" s="1"/>
  <c r="M114" i="4" s="1"/>
  <c r="F115" i="4"/>
  <c r="L113" i="4"/>
  <c r="L90" i="4"/>
  <c r="M90" i="4"/>
  <c r="G91" i="4"/>
  <c r="K91" i="4" s="1"/>
  <c r="G79" i="4"/>
  <c r="K79" i="4" s="1"/>
  <c r="L79" i="4" s="1"/>
  <c r="M79" i="4" s="1"/>
  <c r="F84" i="4"/>
  <c r="G84" i="4" s="1"/>
  <c r="K84" i="4" s="1"/>
  <c r="L84" i="4" s="1"/>
  <c r="M84" i="4" s="1"/>
  <c r="F103" i="4"/>
  <c r="G102" i="4"/>
  <c r="K102" i="4" s="1"/>
  <c r="M102" i="4" s="1"/>
  <c r="L591" i="4"/>
  <c r="G592" i="4"/>
  <c r="K592" i="4" s="1"/>
  <c r="F593" i="4"/>
  <c r="M682" i="4"/>
  <c r="G688" i="4"/>
  <c r="K688" i="4" s="1"/>
  <c r="G687" i="4"/>
  <c r="K687" i="4" s="1"/>
  <c r="F556" i="4"/>
  <c r="G690" i="4"/>
  <c r="K690" i="4" s="1"/>
  <c r="F691" i="4"/>
  <c r="G685" i="4"/>
  <c r="K685" i="4" s="1"/>
  <c r="F686" i="4"/>
  <c r="G686" i="4" s="1"/>
  <c r="K686" i="4" s="1"/>
  <c r="M684" i="4"/>
  <c r="L684" i="4"/>
  <c r="M689" i="4"/>
  <c r="L689" i="4"/>
  <c r="G675" i="4"/>
  <c r="K675" i="4" s="1"/>
  <c r="F676" i="4"/>
  <c r="F651" i="4"/>
  <c r="F652" i="4" s="1"/>
  <c r="F653" i="4" s="1"/>
  <c r="F654" i="4" s="1"/>
  <c r="F655" i="4" s="1"/>
  <c r="F656" i="4" s="1"/>
  <c r="F657" i="4" s="1"/>
  <c r="F668" i="4"/>
  <c r="I457" i="4"/>
  <c r="F457" i="4"/>
  <c r="F458" i="4"/>
  <c r="J461" i="4"/>
  <c r="F461" i="4"/>
  <c r="G461" i="4" s="1"/>
  <c r="I196" i="4"/>
  <c r="J196" i="4" s="1"/>
  <c r="E116" i="2"/>
  <c r="D116" i="2"/>
  <c r="I194" i="4"/>
  <c r="J194" i="4" s="1"/>
  <c r="F194" i="4"/>
  <c r="G194" i="4" s="1"/>
  <c r="K395" i="7" l="1"/>
  <c r="M656" i="7"/>
  <c r="L656" i="7"/>
  <c r="G657" i="7"/>
  <c r="M708" i="7"/>
  <c r="L708" i="7"/>
  <c r="L707" i="7"/>
  <c r="M707" i="7"/>
  <c r="F116" i="4"/>
  <c r="G115" i="4"/>
  <c r="K115" i="4" s="1"/>
  <c r="M115" i="4" s="1"/>
  <c r="L114" i="4"/>
  <c r="G92" i="4"/>
  <c r="K92" i="4" s="1"/>
  <c r="M92" i="4" s="1"/>
  <c r="F93" i="4"/>
  <c r="M91" i="4"/>
  <c r="L91" i="4"/>
  <c r="L102" i="4"/>
  <c r="G103" i="4"/>
  <c r="K103" i="4" s="1"/>
  <c r="M103" i="4" s="1"/>
  <c r="F104" i="4"/>
  <c r="G593" i="4"/>
  <c r="K593" i="4" s="1"/>
  <c r="F594" i="4"/>
  <c r="L592" i="4"/>
  <c r="M592" i="4"/>
  <c r="L687" i="4"/>
  <c r="M687" i="4"/>
  <c r="M688" i="4"/>
  <c r="L688" i="4"/>
  <c r="F568" i="4"/>
  <c r="F557" i="4"/>
  <c r="M686" i="4"/>
  <c r="L686" i="4"/>
  <c r="L685" i="4"/>
  <c r="M685" i="4"/>
  <c r="F692" i="4"/>
  <c r="G692" i="4" s="1"/>
  <c r="K692" i="4" s="1"/>
  <c r="G691" i="4"/>
  <c r="K691" i="4" s="1"/>
  <c r="L690" i="4"/>
  <c r="M690" i="4"/>
  <c r="F677" i="4"/>
  <c r="F678" i="4" s="1"/>
  <c r="J676" i="4"/>
  <c r="G676" i="4"/>
  <c r="M675" i="4"/>
  <c r="L675" i="4"/>
  <c r="F669" i="4"/>
  <c r="K461" i="4"/>
  <c r="L461" i="4" s="1"/>
  <c r="K194" i="4"/>
  <c r="F195" i="4"/>
  <c r="O395" i="7" l="1"/>
  <c r="O396" i="7" s="1"/>
  <c r="L395" i="7"/>
  <c r="L396" i="7" s="1"/>
  <c r="B51" i="8" s="1"/>
  <c r="L115" i="4"/>
  <c r="G116" i="4"/>
  <c r="K116" i="4" s="1"/>
  <c r="M116" i="4" s="1"/>
  <c r="F117" i="4"/>
  <c r="G117" i="4" s="1"/>
  <c r="K117" i="4" s="1"/>
  <c r="M117" i="4" s="1"/>
  <c r="G93" i="4"/>
  <c r="K93" i="4" s="1"/>
  <c r="F94" i="4"/>
  <c r="L92" i="4"/>
  <c r="L103" i="4"/>
  <c r="G104" i="4"/>
  <c r="K104" i="4" s="1"/>
  <c r="F105" i="4"/>
  <c r="G594" i="4"/>
  <c r="K594" i="4" s="1"/>
  <c r="M593" i="4"/>
  <c r="L593" i="4"/>
  <c r="F558" i="4"/>
  <c r="M691" i="4"/>
  <c r="L691" i="4"/>
  <c r="M692" i="4"/>
  <c r="L692" i="4"/>
  <c r="K676" i="4"/>
  <c r="G677" i="4"/>
  <c r="K677" i="4" s="1"/>
  <c r="F670" i="4"/>
  <c r="M461" i="4"/>
  <c r="G195" i="4"/>
  <c r="L194" i="4"/>
  <c r="Q194" i="4"/>
  <c r="F196" i="4"/>
  <c r="G196" i="4" s="1"/>
  <c r="K196" i="4" s="1"/>
  <c r="M118" i="4" l="1"/>
  <c r="L117" i="4"/>
  <c r="L116" i="4"/>
  <c r="G94" i="4"/>
  <c r="K94" i="4" s="1"/>
  <c r="G95" i="4"/>
  <c r="K95" i="4" s="1"/>
  <c r="M93" i="4"/>
  <c r="L93" i="4"/>
  <c r="M104" i="4"/>
  <c r="L104" i="4"/>
  <c r="G105" i="4"/>
  <c r="K105" i="4" s="1"/>
  <c r="M105" i="4" s="1"/>
  <c r="F106" i="4"/>
  <c r="G106" i="4" s="1"/>
  <c r="K106" i="4" s="1"/>
  <c r="M106" i="4" s="1"/>
  <c r="M594" i="4"/>
  <c r="M595" i="4" s="1"/>
  <c r="L594" i="4"/>
  <c r="L595" i="4" s="1"/>
  <c r="L693" i="4"/>
  <c r="M693" i="4"/>
  <c r="M677" i="4"/>
  <c r="L677" i="4"/>
  <c r="M676" i="4"/>
  <c r="L676" i="4"/>
  <c r="F671" i="4"/>
  <c r="Q196" i="4"/>
  <c r="L196" i="4"/>
  <c r="C150" i="6"/>
  <c r="B154" i="6" s="1"/>
  <c r="O66" i="6"/>
  <c r="I379" i="4"/>
  <c r="I391" i="4"/>
  <c r="I381" i="4"/>
  <c r="A52" i="6"/>
  <c r="A113" i="6" s="1"/>
  <c r="I543" i="4"/>
  <c r="J543" i="4" s="1"/>
  <c r="I540" i="4"/>
  <c r="J540" i="4" s="1"/>
  <c r="I542" i="4"/>
  <c r="J542" i="4" s="1"/>
  <c r="I541" i="4"/>
  <c r="I539" i="4"/>
  <c r="J539" i="4" s="1"/>
  <c r="F539" i="4"/>
  <c r="F541" i="4" s="1"/>
  <c r="B60" i="6" l="1"/>
  <c r="B147" i="6" s="1"/>
  <c r="B147" i="8"/>
  <c r="E12" i="6"/>
  <c r="E60" i="6"/>
  <c r="E60" i="8"/>
  <c r="H111" i="6"/>
  <c r="H115" i="6" s="1"/>
  <c r="H154" i="6" s="1"/>
  <c r="L118" i="4"/>
  <c r="M94" i="4"/>
  <c r="L94" i="4"/>
  <c r="L95" i="4"/>
  <c r="M95" i="4"/>
  <c r="L106" i="4"/>
  <c r="L105" i="4"/>
  <c r="G678" i="4"/>
  <c r="J678" i="4"/>
  <c r="F540" i="4"/>
  <c r="F542" i="4"/>
  <c r="B12" i="6" l="1"/>
  <c r="B78" i="6" s="1"/>
  <c r="B78" i="8"/>
  <c r="M96" i="4"/>
  <c r="L96" i="4"/>
  <c r="F572" i="4"/>
  <c r="K678" i="4"/>
  <c r="M678" i="4" s="1"/>
  <c r="M679" i="4" s="1"/>
  <c r="F543" i="4"/>
  <c r="B10" i="6" l="1"/>
  <c r="B76" i="6" s="1"/>
  <c r="B76" i="8"/>
  <c r="E10" i="6"/>
  <c r="F573" i="4"/>
  <c r="L678" i="4"/>
  <c r="L679" i="4" s="1"/>
  <c r="A51" i="6"/>
  <c r="A112" i="6" s="1"/>
  <c r="E48" i="3"/>
  <c r="H160" i="6"/>
  <c r="A49" i="6"/>
  <c r="A127" i="6" s="1"/>
  <c r="I488" i="4"/>
  <c r="I487" i="4"/>
  <c r="J487" i="4" s="1"/>
  <c r="I480" i="4"/>
  <c r="F486" i="4"/>
  <c r="G486" i="4" s="1"/>
  <c r="I489" i="4"/>
  <c r="J489" i="4" s="1"/>
  <c r="I486" i="4"/>
  <c r="J486" i="4" s="1"/>
  <c r="J515" i="4"/>
  <c r="F512" i="4"/>
  <c r="I516" i="4"/>
  <c r="J516" i="4" s="1"/>
  <c r="F516" i="4"/>
  <c r="F517" i="4" s="1"/>
  <c r="F515" i="4"/>
  <c r="F513" i="4"/>
  <c r="F514" i="4" s="1"/>
  <c r="A44" i="6"/>
  <c r="A107" i="6" s="1"/>
  <c r="A48" i="6"/>
  <c r="A143" i="6" s="1"/>
  <c r="A47" i="6"/>
  <c r="A142" i="6" s="1"/>
  <c r="I479" i="4"/>
  <c r="A46" i="6"/>
  <c r="A128" i="6" s="1"/>
  <c r="A45" i="6"/>
  <c r="A141" i="6" s="1"/>
  <c r="D115" i="2"/>
  <c r="D114" i="2"/>
  <c r="B115" i="2"/>
  <c r="B114" i="2"/>
  <c r="I533" i="4"/>
  <c r="J533" i="4" s="1"/>
  <c r="I532" i="4"/>
  <c r="J532" i="4" s="1"/>
  <c r="F533" i="4"/>
  <c r="F534" i="4" s="1"/>
  <c r="F530" i="4"/>
  <c r="F531" i="4" s="1"/>
  <c r="I47" i="4"/>
  <c r="J47" i="4" s="1"/>
  <c r="D113" i="2"/>
  <c r="C113" i="2"/>
  <c r="C114" i="2" s="1"/>
  <c r="C115" i="2" s="1"/>
  <c r="B113" i="2"/>
  <c r="F47" i="4"/>
  <c r="G47" i="4" s="1"/>
  <c r="I535" i="4"/>
  <c r="J535" i="4" s="1"/>
  <c r="I530" i="4"/>
  <c r="J530" i="4" s="1"/>
  <c r="I524" i="4"/>
  <c r="J523" i="4"/>
  <c r="I522" i="4"/>
  <c r="J522" i="4" s="1"/>
  <c r="J526" i="4"/>
  <c r="F521" i="4"/>
  <c r="F522" i="4" s="1"/>
  <c r="D109" i="2"/>
  <c r="F487" i="4" l="1"/>
  <c r="G487" i="4" s="1"/>
  <c r="K487" i="4" s="1"/>
  <c r="K486" i="4"/>
  <c r="G533" i="4"/>
  <c r="K533" i="4" s="1"/>
  <c r="M533" i="4" s="1"/>
  <c r="G531" i="4"/>
  <c r="F532" i="4"/>
  <c r="G532" i="4" s="1"/>
  <c r="K532" i="4" s="1"/>
  <c r="L532" i="4" s="1"/>
  <c r="F535" i="4"/>
  <c r="K47" i="4"/>
  <c r="M47" i="4" s="1"/>
  <c r="G530" i="4"/>
  <c r="K530" i="4" s="1"/>
  <c r="F523" i="4"/>
  <c r="F488" i="4" l="1"/>
  <c r="G488" i="4" s="1"/>
  <c r="M487" i="4"/>
  <c r="L487" i="4"/>
  <c r="L486" i="4"/>
  <c r="M486" i="4"/>
  <c r="L533" i="4"/>
  <c r="M532" i="4"/>
  <c r="L47" i="4"/>
  <c r="M530" i="4"/>
  <c r="L530" i="4"/>
  <c r="G534" i="4"/>
  <c r="F524" i="4"/>
  <c r="F525" i="4" s="1"/>
  <c r="A43" i="6"/>
  <c r="A99" i="6" s="1"/>
  <c r="G514" i="4"/>
  <c r="K514" i="4" s="1"/>
  <c r="L514" i="4" s="1"/>
  <c r="B109" i="2"/>
  <c r="F216" i="3" l="1"/>
  <c r="G525" i="4" s="1"/>
  <c r="G515" i="4"/>
  <c r="K515" i="4" s="1"/>
  <c r="F489" i="4"/>
  <c r="G489" i="4" s="1"/>
  <c r="K489" i="4" s="1"/>
  <c r="M489" i="4" s="1"/>
  <c r="G535" i="4"/>
  <c r="K535" i="4" s="1"/>
  <c r="F526" i="4"/>
  <c r="G513" i="4"/>
  <c r="G512" i="4"/>
  <c r="I159" i="4"/>
  <c r="I157" i="4"/>
  <c r="I156" i="4"/>
  <c r="I155" i="4"/>
  <c r="F69" i="2"/>
  <c r="B69" i="2"/>
  <c r="F155" i="4"/>
  <c r="I160" i="4"/>
  <c r="G134" i="6"/>
  <c r="G154" i="6" s="1"/>
  <c r="E73" i="6"/>
  <c r="E79" i="6" s="1"/>
  <c r="E154" i="6" s="1"/>
  <c r="I86" i="6"/>
  <c r="I93" i="6" s="1"/>
  <c r="I154" i="6" s="1"/>
  <c r="I475" i="4"/>
  <c r="I471" i="4"/>
  <c r="D112" i="2"/>
  <c r="B112" i="2"/>
  <c r="F471" i="4"/>
  <c r="I506" i="4"/>
  <c r="I503" i="4"/>
  <c r="I508" i="4"/>
  <c r="I504" i="4"/>
  <c r="I502" i="4"/>
  <c r="I500" i="4"/>
  <c r="I507" i="4"/>
  <c r="I505" i="4"/>
  <c r="I501" i="4"/>
  <c r="F501" i="4"/>
  <c r="F500" i="4"/>
  <c r="I496" i="4"/>
  <c r="I493" i="4"/>
  <c r="D108" i="2"/>
  <c r="F493" i="4"/>
  <c r="G493" i="4" s="1"/>
  <c r="B108" i="2"/>
  <c r="D107" i="2"/>
  <c r="B107" i="2"/>
  <c r="F479" i="4"/>
  <c r="F23" i="3"/>
  <c r="F22" i="3"/>
  <c r="I235" i="4"/>
  <c r="I234" i="4"/>
  <c r="I233" i="4"/>
  <c r="F233" i="4"/>
  <c r="F234" i="4" s="1"/>
  <c r="F235" i="4" s="1"/>
  <c r="A50" i="6"/>
  <c r="A101" i="6" s="1"/>
  <c r="A41" i="6"/>
  <c r="A140" i="6" s="1"/>
  <c r="I469" i="4"/>
  <c r="I466" i="4"/>
  <c r="B111" i="2"/>
  <c r="F466" i="4"/>
  <c r="F467" i="4" s="1"/>
  <c r="F468" i="4" s="1"/>
  <c r="I494" i="4"/>
  <c r="G521" i="4" l="1"/>
  <c r="G553" i="4"/>
  <c r="K553" i="4" s="1"/>
  <c r="G554" i="4"/>
  <c r="K554" i="4" s="1"/>
  <c r="G555" i="4"/>
  <c r="K555" i="4" s="1"/>
  <c r="G556" i="4"/>
  <c r="K556" i="4" s="1"/>
  <c r="G557" i="4"/>
  <c r="K557" i="4" s="1"/>
  <c r="G558" i="4"/>
  <c r="K558" i="4" s="1"/>
  <c r="G526" i="4"/>
  <c r="K526" i="4" s="1"/>
  <c r="M526" i="4" s="1"/>
  <c r="G524" i="4"/>
  <c r="L515" i="4"/>
  <c r="M515" i="4"/>
  <c r="M518" i="4" s="1"/>
  <c r="G516" i="4"/>
  <c r="G517" i="4" s="1"/>
  <c r="K517" i="4" s="1"/>
  <c r="L517" i="4" s="1"/>
  <c r="G522" i="4"/>
  <c r="K522" i="4" s="1"/>
  <c r="G523" i="4"/>
  <c r="K523" i="4" s="1"/>
  <c r="E160" i="6"/>
  <c r="G160" i="6"/>
  <c r="I160" i="6"/>
  <c r="L489" i="4"/>
  <c r="L535" i="4"/>
  <c r="M535" i="4"/>
  <c r="D69" i="2"/>
  <c r="F156" i="4"/>
  <c r="G500" i="4"/>
  <c r="G501" i="4"/>
  <c r="G479" i="4"/>
  <c r="F502" i="4"/>
  <c r="F494" i="4"/>
  <c r="F480" i="4"/>
  <c r="D111" i="2"/>
  <c r="F469" i="4"/>
  <c r="F470" i="4" s="1"/>
  <c r="E44" i="6" l="1"/>
  <c r="E44" i="8"/>
  <c r="L558" i="4"/>
  <c r="M558" i="4"/>
  <c r="M557" i="4"/>
  <c r="L557" i="4"/>
  <c r="M556" i="4"/>
  <c r="L556" i="4"/>
  <c r="M555" i="4"/>
  <c r="L555" i="4"/>
  <c r="M554" i="4"/>
  <c r="L554" i="4"/>
  <c r="M553" i="4"/>
  <c r="L553" i="4"/>
  <c r="K516" i="4"/>
  <c r="L516" i="4" s="1"/>
  <c r="L526" i="4"/>
  <c r="L523" i="4"/>
  <c r="M523" i="4"/>
  <c r="L522" i="4"/>
  <c r="M522" i="4"/>
  <c r="F157" i="4"/>
  <c r="F158" i="4" s="1"/>
  <c r="G471" i="4"/>
  <c r="F472" i="4"/>
  <c r="F473" i="4" s="1"/>
  <c r="G502" i="4"/>
  <c r="F503" i="4"/>
  <c r="G494" i="4"/>
  <c r="F495" i="4"/>
  <c r="G480" i="4"/>
  <c r="F481" i="4"/>
  <c r="I434" i="4"/>
  <c r="I432" i="4"/>
  <c r="I433" i="4"/>
  <c r="F432" i="4"/>
  <c r="F435" i="4" s="1"/>
  <c r="Q437" i="4"/>
  <c r="P437" i="4"/>
  <c r="N437" i="4"/>
  <c r="I436" i="4"/>
  <c r="I428" i="4"/>
  <c r="I426" i="4"/>
  <c r="F426" i="4"/>
  <c r="F427" i="4" s="1"/>
  <c r="D106" i="2"/>
  <c r="B106" i="2"/>
  <c r="F204" i="3"/>
  <c r="F200" i="3"/>
  <c r="I422" i="4"/>
  <c r="I421" i="4"/>
  <c r="I419" i="4"/>
  <c r="D105" i="2"/>
  <c r="B105" i="2"/>
  <c r="M559" i="4" l="1"/>
  <c r="L559" i="4"/>
  <c r="F159" i="4"/>
  <c r="G473" i="4"/>
  <c r="F474" i="4"/>
  <c r="G472" i="4"/>
  <c r="F504" i="4"/>
  <c r="G503" i="4"/>
  <c r="G495" i="4"/>
  <c r="F496" i="4"/>
  <c r="G496" i="4" s="1"/>
  <c r="G481" i="4"/>
  <c r="F482" i="4"/>
  <c r="G482" i="4" s="1"/>
  <c r="F433" i="4"/>
  <c r="F434" i="4" s="1"/>
  <c r="G434" i="4" s="1"/>
  <c r="G435" i="4"/>
  <c r="F436" i="4"/>
  <c r="G432" i="4"/>
  <c r="G426" i="4"/>
  <c r="G427" i="4"/>
  <c r="F428" i="4"/>
  <c r="G428" i="4" s="1"/>
  <c r="B57" i="6" l="1"/>
  <c r="B144" i="6" s="1"/>
  <c r="B144" i="8"/>
  <c r="E57" i="6"/>
  <c r="E57" i="8"/>
  <c r="F160" i="4"/>
  <c r="F475" i="4"/>
  <c r="G475" i="4" s="1"/>
  <c r="G474" i="4"/>
  <c r="G504" i="4"/>
  <c r="F505" i="4"/>
  <c r="G433" i="4"/>
  <c r="G436" i="4"/>
  <c r="A64" i="6"/>
  <c r="A149" i="6" s="1"/>
  <c r="G469" i="4"/>
  <c r="F506" i="4" l="1"/>
  <c r="G505" i="4"/>
  <c r="G470" i="4"/>
  <c r="G467" i="4"/>
  <c r="G466" i="4"/>
  <c r="G506" i="4" l="1"/>
  <c r="F507" i="4"/>
  <c r="G468" i="4"/>
  <c r="G507" i="4" l="1"/>
  <c r="F508" i="4"/>
  <c r="G508" i="4" s="1"/>
  <c r="A40" i="6"/>
  <c r="A139" i="6" s="1"/>
  <c r="F460" i="4" l="1"/>
  <c r="G460" i="4" s="1"/>
  <c r="D104" i="2"/>
  <c r="I458" i="4"/>
  <c r="I462" i="4"/>
  <c r="B104" i="2"/>
  <c r="G457" i="4"/>
  <c r="F104" i="2"/>
  <c r="F419" i="4" l="1"/>
  <c r="F420" i="4" s="1"/>
  <c r="F201" i="3"/>
  <c r="A39" i="6"/>
  <c r="A111" i="6" s="1"/>
  <c r="A23" i="6"/>
  <c r="A125" i="6" s="1"/>
  <c r="I415" i="4"/>
  <c r="I414" i="4"/>
  <c r="I413" i="4"/>
  <c r="I412" i="4"/>
  <c r="I409" i="4"/>
  <c r="F409" i="4"/>
  <c r="F459" i="4" l="1"/>
  <c r="G458" i="4"/>
  <c r="F462" i="4"/>
  <c r="G462" i="4" s="1"/>
  <c r="G419" i="4"/>
  <c r="G420" i="4"/>
  <c r="F421" i="4"/>
  <c r="F410" i="4"/>
  <c r="G459" i="4" l="1"/>
  <c r="G421" i="4"/>
  <c r="F422" i="4"/>
  <c r="F411" i="4"/>
  <c r="G422" i="4" l="1"/>
  <c r="F412" i="4"/>
  <c r="F413" i="4" l="1"/>
  <c r="F414" i="4" l="1"/>
  <c r="F415" i="4" l="1"/>
  <c r="I405" i="4" l="1"/>
  <c r="I404" i="4"/>
  <c r="I403" i="4"/>
  <c r="I402" i="4"/>
  <c r="I401" i="4"/>
  <c r="I399" i="4"/>
  <c r="D103" i="2"/>
  <c r="B103" i="2"/>
  <c r="F399" i="4"/>
  <c r="F400" i="4" s="1"/>
  <c r="A38" i="6"/>
  <c r="A138" i="6" s="1"/>
  <c r="Q416" i="4"/>
  <c r="P416" i="4"/>
  <c r="N416" i="4"/>
  <c r="F192" i="3"/>
  <c r="F196" i="3" s="1"/>
  <c r="F191" i="3"/>
  <c r="F195" i="3" s="1"/>
  <c r="F190" i="3"/>
  <c r="F194" i="3" s="1"/>
  <c r="A55" i="6"/>
  <c r="A126" i="6" s="1"/>
  <c r="F189" i="3"/>
  <c r="F188" i="3"/>
  <c r="F187" i="3"/>
  <c r="F186" i="3"/>
  <c r="F197" i="3" l="1"/>
  <c r="G400" i="4" s="1"/>
  <c r="F198" i="3"/>
  <c r="F401" i="4"/>
  <c r="A37" i="6"/>
  <c r="A137" i="6" s="1"/>
  <c r="I445" i="4"/>
  <c r="I444" i="4"/>
  <c r="I443" i="4"/>
  <c r="I442" i="4"/>
  <c r="I441" i="4"/>
  <c r="F102" i="2"/>
  <c r="D102" i="2"/>
  <c r="F442" i="4"/>
  <c r="F441" i="4"/>
  <c r="A53" i="6"/>
  <c r="A105" i="6" s="1"/>
  <c r="A33" i="6"/>
  <c r="A133" i="6" s="1"/>
  <c r="F329" i="4"/>
  <c r="F330" i="4" s="1"/>
  <c r="F322" i="4"/>
  <c r="F323" i="4" s="1"/>
  <c r="F319" i="4"/>
  <c r="F320" i="4" s="1"/>
  <c r="Q334" i="4"/>
  <c r="N334" i="4"/>
  <c r="M334" i="4"/>
  <c r="I333" i="4"/>
  <c r="I332" i="4"/>
  <c r="I331" i="4"/>
  <c r="I330" i="4"/>
  <c r="I329" i="4"/>
  <c r="I328" i="4"/>
  <c r="I327" i="4"/>
  <c r="I326" i="4"/>
  <c r="I325" i="4"/>
  <c r="I324" i="4"/>
  <c r="I323" i="4"/>
  <c r="I322" i="4"/>
  <c r="I321" i="4"/>
  <c r="I320" i="4"/>
  <c r="I319" i="4"/>
  <c r="I311" i="4"/>
  <c r="I312" i="4"/>
  <c r="F311" i="4"/>
  <c r="F312" i="4" s="1"/>
  <c r="I307" i="4"/>
  <c r="I303" i="4"/>
  <c r="I314" i="4"/>
  <c r="I313" i="4"/>
  <c r="I309" i="4"/>
  <c r="I306" i="4"/>
  <c r="I304" i="4"/>
  <c r="I315" i="4"/>
  <c r="I310" i="4"/>
  <c r="F301" i="4"/>
  <c r="F302" i="4" s="1"/>
  <c r="I301" i="4"/>
  <c r="F101" i="2"/>
  <c r="D101" i="2"/>
  <c r="F304" i="4"/>
  <c r="F308" i="4" s="1"/>
  <c r="F310" i="4" s="1"/>
  <c r="F159" i="3"/>
  <c r="A32" i="6"/>
  <c r="A132" i="6" s="1"/>
  <c r="F166" i="3"/>
  <c r="F162" i="3" s="1"/>
  <c r="F167" i="3"/>
  <c r="F165" i="3"/>
  <c r="F161" i="3" s="1"/>
  <c r="F8" i="3"/>
  <c r="F153" i="3" l="1"/>
  <c r="G449" i="4"/>
  <c r="K449" i="4" s="1"/>
  <c r="L449" i="4" s="1"/>
  <c r="G453" i="4"/>
  <c r="K453" i="4" s="1"/>
  <c r="L453" i="4" s="1"/>
  <c r="G442" i="4"/>
  <c r="C156" i="6"/>
  <c r="G399" i="4"/>
  <c r="G330" i="4"/>
  <c r="G409" i="4"/>
  <c r="G410" i="4"/>
  <c r="G411" i="4"/>
  <c r="G412" i="4"/>
  <c r="G413" i="4"/>
  <c r="G414" i="4"/>
  <c r="G415" i="4"/>
  <c r="F402" i="4"/>
  <c r="G401" i="4"/>
  <c r="G441" i="4"/>
  <c r="G312" i="4"/>
  <c r="G323" i="4"/>
  <c r="F445" i="4"/>
  <c r="F443" i="4"/>
  <c r="F324" i="4"/>
  <c r="G329" i="4"/>
  <c r="F326" i="4"/>
  <c r="F328" i="4" s="1"/>
  <c r="F321" i="4"/>
  <c r="F325" i="4"/>
  <c r="G311" i="4"/>
  <c r="F313" i="4"/>
  <c r="F305" i="4"/>
  <c r="F306" i="4" s="1"/>
  <c r="F307" i="4"/>
  <c r="G302" i="4"/>
  <c r="F303" i="4"/>
  <c r="F169" i="3"/>
  <c r="G320" i="4"/>
  <c r="F170" i="3"/>
  <c r="G451" i="4" l="1"/>
  <c r="K451" i="4" s="1"/>
  <c r="L451" i="4" s="1"/>
  <c r="G450" i="4"/>
  <c r="K450" i="4" s="1"/>
  <c r="L450" i="4" s="1"/>
  <c r="G452" i="4"/>
  <c r="K452" i="4" s="1"/>
  <c r="L452" i="4" s="1"/>
  <c r="G322" i="4"/>
  <c r="G328" i="4"/>
  <c r="G324" i="4"/>
  <c r="G303" i="4"/>
  <c r="G402" i="4"/>
  <c r="F403" i="4"/>
  <c r="G321" i="4"/>
  <c r="G319" i="4"/>
  <c r="G310" i="4"/>
  <c r="G304" i="4"/>
  <c r="G326" i="4"/>
  <c r="F331" i="4"/>
  <c r="F333" i="4" s="1"/>
  <c r="G333" i="4" s="1"/>
  <c r="G443" i="4"/>
  <c r="F444" i="4"/>
  <c r="G444" i="4" s="1"/>
  <c r="G445" i="4"/>
  <c r="F327" i="4"/>
  <c r="G325" i="4"/>
  <c r="F315" i="4"/>
  <c r="G313" i="4"/>
  <c r="G307" i="4"/>
  <c r="F309" i="4"/>
  <c r="G403" i="4" l="1"/>
  <c r="F404" i="4"/>
  <c r="G331" i="4"/>
  <c r="G327" i="4"/>
  <c r="F332" i="4"/>
  <c r="G332" i="4" s="1"/>
  <c r="G309" i="4"/>
  <c r="F314" i="4"/>
  <c r="G314" i="4" s="1"/>
  <c r="A31" i="6"/>
  <c r="A123" i="6" s="1"/>
  <c r="A30" i="6"/>
  <c r="A122" i="6" s="1"/>
  <c r="G404" i="4" l="1"/>
  <c r="F405" i="4"/>
  <c r="G405" i="4" s="1"/>
  <c r="D27" i="1"/>
  <c r="D26" i="1"/>
  <c r="D25" i="1"/>
  <c r="F116" i="3" s="1"/>
  <c r="E36" i="3"/>
  <c r="I272" i="4" l="1"/>
  <c r="I229" i="4"/>
  <c r="I273" i="4"/>
  <c r="D100" i="2"/>
  <c r="F265" i="4"/>
  <c r="I270" i="4"/>
  <c r="F45" i="2"/>
  <c r="F270" i="4"/>
  <c r="G270" i="4" s="1"/>
  <c r="F269" i="4"/>
  <c r="I259" i="4"/>
  <c r="I269" i="4"/>
  <c r="A29" i="6"/>
  <c r="A100" i="6" s="1"/>
  <c r="I268" i="4"/>
  <c r="I266" i="4"/>
  <c r="I265" i="4"/>
  <c r="F100" i="2"/>
  <c r="F99" i="2"/>
  <c r="D98" i="2"/>
  <c r="F98" i="2"/>
  <c r="F260" i="4"/>
  <c r="I258" i="4"/>
  <c r="I257" i="4"/>
  <c r="I256" i="4"/>
  <c r="I254" i="4"/>
  <c r="I253" i="4"/>
  <c r="D97" i="2"/>
  <c r="F253" i="4"/>
  <c r="F97" i="2"/>
  <c r="I249" i="4"/>
  <c r="I248" i="4"/>
  <c r="I247" i="4"/>
  <c r="I246" i="4"/>
  <c r="I245" i="4"/>
  <c r="I244" i="4"/>
  <c r="I243" i="4"/>
  <c r="I242" i="4"/>
  <c r="F242" i="4"/>
  <c r="F241" i="4"/>
  <c r="F239" i="4"/>
  <c r="F240" i="4"/>
  <c r="I240" i="4"/>
  <c r="I239" i="4"/>
  <c r="F96" i="2"/>
  <c r="D96" i="2"/>
  <c r="A28" i="6"/>
  <c r="A98" i="6" s="1"/>
  <c r="A27" i="6"/>
  <c r="A97" i="6" s="1"/>
  <c r="I226" i="4"/>
  <c r="I227" i="4"/>
  <c r="I228" i="4"/>
  <c r="I223" i="4"/>
  <c r="I222" i="4"/>
  <c r="F80" i="2"/>
  <c r="D80" i="2"/>
  <c r="I271" i="7" s="1"/>
  <c r="J271" i="7" s="1"/>
  <c r="K271" i="7" s="1"/>
  <c r="F227" i="4"/>
  <c r="F226" i="4"/>
  <c r="F229" i="4"/>
  <c r="F228" i="4"/>
  <c r="F225" i="4"/>
  <c r="F223" i="4"/>
  <c r="F222" i="4"/>
  <c r="F221" i="4"/>
  <c r="F224" i="4"/>
  <c r="D79" i="2"/>
  <c r="A26" i="6"/>
  <c r="A96" i="6" s="1"/>
  <c r="A73" i="6"/>
  <c r="I615" i="4"/>
  <c r="I613" i="4"/>
  <c r="H616" i="4"/>
  <c r="I616" i="4" s="1"/>
  <c r="H614" i="4"/>
  <c r="I614" i="4" s="1"/>
  <c r="F613" i="4"/>
  <c r="F614" i="4" s="1"/>
  <c r="F615" i="4" s="1"/>
  <c r="I215" i="4"/>
  <c r="I205" i="4"/>
  <c r="I213" i="4"/>
  <c r="I212" i="4"/>
  <c r="I210" i="4"/>
  <c r="H216" i="4"/>
  <c r="I216" i="4" s="1"/>
  <c r="H214" i="4"/>
  <c r="I214" i="4" s="1"/>
  <c r="F210" i="4"/>
  <c r="M271" i="7" l="1"/>
  <c r="L271" i="7"/>
  <c r="F266" i="4"/>
  <c r="F254" i="4"/>
  <c r="F243" i="4"/>
  <c r="F616" i="4"/>
  <c r="F211" i="4"/>
  <c r="H204" i="4"/>
  <c r="I204" i="4" s="1"/>
  <c r="F200" i="4"/>
  <c r="F201" i="4" s="1"/>
  <c r="I203" i="4"/>
  <c r="I202" i="4"/>
  <c r="I200" i="4"/>
  <c r="I191" i="4"/>
  <c r="I190" i="4"/>
  <c r="I189" i="4"/>
  <c r="I188" i="4"/>
  <c r="I187" i="4"/>
  <c r="I186" i="4"/>
  <c r="I185" i="4"/>
  <c r="I184" i="4"/>
  <c r="I183" i="4"/>
  <c r="F189" i="4"/>
  <c r="F190" i="4" s="1"/>
  <c r="F191" i="4" s="1"/>
  <c r="F183" i="4"/>
  <c r="F184" i="4" s="1"/>
  <c r="F185" i="4" s="1"/>
  <c r="F186" i="4" s="1"/>
  <c r="F187" i="4" s="1"/>
  <c r="F188" i="4" s="1"/>
  <c r="F74" i="2"/>
  <c r="D74" i="2"/>
  <c r="F182" i="4"/>
  <c r="I181" i="4"/>
  <c r="I180" i="4"/>
  <c r="F180" i="4"/>
  <c r="F181" i="4" s="1"/>
  <c r="F179" i="4"/>
  <c r="D73" i="2"/>
  <c r="F192" i="4"/>
  <c r="G192" i="4" s="1"/>
  <c r="H175" i="4"/>
  <c r="F78" i="2"/>
  <c r="I175" i="4" s="1"/>
  <c r="I167" i="4"/>
  <c r="D77" i="2"/>
  <c r="F165" i="4"/>
  <c r="F166" i="4" s="1"/>
  <c r="F167" i="4" s="1"/>
  <c r="F168" i="4" s="1"/>
  <c r="F169" i="4" s="1"/>
  <c r="F170" i="4" s="1"/>
  <c r="F171" i="4" s="1"/>
  <c r="F172" i="4" s="1"/>
  <c r="F173" i="4" s="1"/>
  <c r="F174" i="4" s="1"/>
  <c r="F175" i="4" s="1"/>
  <c r="D78" i="2" s="1"/>
  <c r="Q429" i="4"/>
  <c r="P429" i="4"/>
  <c r="N429" i="4"/>
  <c r="Q423" i="4"/>
  <c r="P423" i="4"/>
  <c r="N423" i="4"/>
  <c r="D29" i="1"/>
  <c r="I267" i="7" l="1"/>
  <c r="J267" i="7" s="1"/>
  <c r="K267" i="7" s="1"/>
  <c r="F267" i="4"/>
  <c r="F271" i="4" s="1"/>
  <c r="F272" i="4" s="1"/>
  <c r="F273" i="4" s="1"/>
  <c r="F255" i="4"/>
  <c r="F244" i="4"/>
  <c r="H206" i="4"/>
  <c r="I206" i="4" s="1"/>
  <c r="F212" i="4"/>
  <c r="F202" i="4"/>
  <c r="F193" i="4"/>
  <c r="O672" i="4"/>
  <c r="I151" i="4"/>
  <c r="I149" i="4"/>
  <c r="I608" i="4"/>
  <c r="H150" i="4"/>
  <c r="H147" i="4"/>
  <c r="F95" i="2"/>
  <c r="I147" i="4" s="1"/>
  <c r="D95" i="2"/>
  <c r="F147" i="4"/>
  <c r="F605" i="4"/>
  <c r="F606" i="4" s="1"/>
  <c r="H607" i="4"/>
  <c r="F94" i="2"/>
  <c r="I607" i="4" s="1"/>
  <c r="B94" i="2"/>
  <c r="C48" i="1"/>
  <c r="L267" i="7" l="1"/>
  <c r="L274" i="7" s="1"/>
  <c r="B29" i="8" s="1"/>
  <c r="B126" i="8" s="1"/>
  <c r="M267" i="7"/>
  <c r="M274" i="7" s="1"/>
  <c r="I271" i="4"/>
  <c r="I267" i="4"/>
  <c r="F268" i="4"/>
  <c r="F256" i="4"/>
  <c r="F245" i="4"/>
  <c r="F213" i="4"/>
  <c r="F203" i="4"/>
  <c r="I150" i="4"/>
  <c r="F148" i="4"/>
  <c r="F149" i="4" s="1"/>
  <c r="F150" i="4" s="1"/>
  <c r="F607" i="4"/>
  <c r="I370" i="4"/>
  <c r="I365" i="4"/>
  <c r="I357" i="4"/>
  <c r="I352" i="4"/>
  <c r="F364" i="4"/>
  <c r="F351" i="4"/>
  <c r="F352" i="4" s="1"/>
  <c r="Q373" i="4"/>
  <c r="P373" i="4"/>
  <c r="N373" i="4"/>
  <c r="I372" i="4"/>
  <c r="I371" i="4"/>
  <c r="I369" i="4"/>
  <c r="I368" i="4"/>
  <c r="I367" i="4"/>
  <c r="I366" i="4"/>
  <c r="I364" i="4"/>
  <c r="I363" i="4"/>
  <c r="Q360" i="4"/>
  <c r="P360" i="4"/>
  <c r="N360" i="4"/>
  <c r="I359" i="4"/>
  <c r="I358" i="4"/>
  <c r="I356" i="4"/>
  <c r="I355" i="4"/>
  <c r="I354" i="4"/>
  <c r="I353" i="4"/>
  <c r="I351" i="4"/>
  <c r="I350" i="4"/>
  <c r="I340" i="4"/>
  <c r="F340" i="4"/>
  <c r="I392" i="4"/>
  <c r="H388" i="4"/>
  <c r="H390" i="4" s="1"/>
  <c r="H393" i="4" s="1"/>
  <c r="H395" i="4" s="1"/>
  <c r="F93" i="2"/>
  <c r="F387" i="4"/>
  <c r="I376" i="4"/>
  <c r="F376" i="4"/>
  <c r="F377" i="4"/>
  <c r="F378" i="4" s="1"/>
  <c r="F379" i="4" s="1"/>
  <c r="I707" i="4"/>
  <c r="I697" i="4"/>
  <c r="F42" i="2"/>
  <c r="I706" i="4"/>
  <c r="I705" i="4"/>
  <c r="I704" i="4"/>
  <c r="I703" i="4"/>
  <c r="F702" i="4"/>
  <c r="I701" i="4"/>
  <c r="F697" i="4"/>
  <c r="F698" i="4" s="1"/>
  <c r="I700" i="4"/>
  <c r="I698" i="4"/>
  <c r="F63" i="2"/>
  <c r="E62" i="2"/>
  <c r="F62" i="2" s="1"/>
  <c r="F661" i="4"/>
  <c r="F662" i="4" s="1"/>
  <c r="I661" i="4"/>
  <c r="I664" i="4"/>
  <c r="F43" i="2"/>
  <c r="F9" i="4"/>
  <c r="I385" i="4"/>
  <c r="I383" i="4"/>
  <c r="I377" i="4"/>
  <c r="I641" i="4"/>
  <c r="G639" i="4"/>
  <c r="I639" i="4"/>
  <c r="I346" i="4"/>
  <c r="I345" i="4"/>
  <c r="I343" i="4"/>
  <c r="I342" i="4"/>
  <c r="I341" i="4"/>
  <c r="F91" i="2"/>
  <c r="F90" i="2"/>
  <c r="F89" i="2"/>
  <c r="I338" i="4"/>
  <c r="I337" i="4"/>
  <c r="I283" i="4"/>
  <c r="F257" i="4" l="1"/>
  <c r="F246" i="4"/>
  <c r="F214" i="4"/>
  <c r="F204" i="4"/>
  <c r="F151" i="4"/>
  <c r="F608" i="4"/>
  <c r="F353" i="4"/>
  <c r="F365" i="4"/>
  <c r="F388" i="4"/>
  <c r="F699" i="4"/>
  <c r="F380" i="4"/>
  <c r="F381" i="4"/>
  <c r="F382" i="4" s="1"/>
  <c r="F383" i="4" s="1"/>
  <c r="F258" i="4" l="1"/>
  <c r="F247" i="4"/>
  <c r="F215" i="4"/>
  <c r="F205" i="4"/>
  <c r="F609" i="4"/>
  <c r="F366" i="4"/>
  <c r="F354" i="4"/>
  <c r="F389" i="4"/>
  <c r="F700" i="4"/>
  <c r="D62" i="2"/>
  <c r="F384" i="4"/>
  <c r="I308" i="4"/>
  <c r="M286" i="4"/>
  <c r="N286" i="4"/>
  <c r="P286" i="4"/>
  <c r="K30" i="6" s="1"/>
  <c r="Q286" i="4"/>
  <c r="M298" i="4"/>
  <c r="N298" i="4"/>
  <c r="P298" i="4"/>
  <c r="K31" i="6" s="1"/>
  <c r="Q298" i="4"/>
  <c r="M316" i="4"/>
  <c r="N316" i="4"/>
  <c r="Q316" i="4"/>
  <c r="N347" i="4"/>
  <c r="P347" i="4"/>
  <c r="Q347" i="4"/>
  <c r="G315" i="4"/>
  <c r="G308" i="4"/>
  <c r="I665" i="4"/>
  <c r="I663" i="4"/>
  <c r="F663" i="4"/>
  <c r="F110" i="3"/>
  <c r="F113" i="3" s="1"/>
  <c r="Q406" i="4"/>
  <c r="P406" i="4"/>
  <c r="N406" i="4"/>
  <c r="F77" i="2"/>
  <c r="E55" i="3"/>
  <c r="E53" i="3"/>
  <c r="E54" i="3"/>
  <c r="E52" i="3"/>
  <c r="E47" i="3"/>
  <c r="F81" i="2"/>
  <c r="I221" i="4"/>
  <c r="L66" i="6"/>
  <c r="I13" i="6"/>
  <c r="F66" i="6"/>
  <c r="M197" i="4"/>
  <c r="N197" i="4"/>
  <c r="P197" i="4"/>
  <c r="Q672" i="4"/>
  <c r="N672" i="4"/>
  <c r="P672" i="4"/>
  <c r="N132" i="4"/>
  <c r="N131" i="4"/>
  <c r="N130" i="4"/>
  <c r="N129" i="4"/>
  <c r="Q132" i="4"/>
  <c r="Q131" i="4"/>
  <c r="Q130" i="4"/>
  <c r="Q129" i="4"/>
  <c r="Q639" i="4"/>
  <c r="P132" i="4"/>
  <c r="P131" i="4"/>
  <c r="P130" i="4"/>
  <c r="P129" i="4"/>
  <c r="P639" i="4"/>
  <c r="N639" i="4"/>
  <c r="M132" i="4"/>
  <c r="M131" i="4"/>
  <c r="M130" i="4"/>
  <c r="F82" i="6" l="1"/>
  <c r="F83" i="6" s="1"/>
  <c r="I66" i="6"/>
  <c r="B160" i="6"/>
  <c r="F259" i="4"/>
  <c r="F248" i="4"/>
  <c r="F216" i="4"/>
  <c r="F206" i="4"/>
  <c r="F355" i="4"/>
  <c r="F367" i="4"/>
  <c r="F390" i="4"/>
  <c r="F701" i="4"/>
  <c r="D63" i="2"/>
  <c r="F664" i="4"/>
  <c r="F385" i="4"/>
  <c r="R66" i="6"/>
  <c r="P133" i="4"/>
  <c r="P135" i="4" s="1"/>
  <c r="Q133" i="4"/>
  <c r="Q135" i="4" s="1"/>
  <c r="F154" i="6" l="1"/>
  <c r="J154" i="6" s="1"/>
  <c r="T66" i="6"/>
  <c r="F249" i="4"/>
  <c r="F368" i="4"/>
  <c r="F356" i="4"/>
  <c r="F391" i="4"/>
  <c r="F703" i="4"/>
  <c r="F665" i="4"/>
  <c r="F386" i="4"/>
  <c r="F73" i="2"/>
  <c r="H294" i="4"/>
  <c r="H291" i="4"/>
  <c r="I290" i="4"/>
  <c r="I297" i="4"/>
  <c r="F297" i="4"/>
  <c r="I296" i="4"/>
  <c r="F296" i="4"/>
  <c r="I295" i="4"/>
  <c r="F295" i="4"/>
  <c r="G294" i="4"/>
  <c r="G297" i="4" s="1"/>
  <c r="I293" i="4"/>
  <c r="I292" i="4"/>
  <c r="G291" i="4"/>
  <c r="I289" i="4"/>
  <c r="G289" i="4"/>
  <c r="I278" i="4"/>
  <c r="F143" i="3"/>
  <c r="F141" i="3"/>
  <c r="G282" i="4"/>
  <c r="G285" i="4" s="1"/>
  <c r="I285" i="4"/>
  <c r="I280" i="4"/>
  <c r="I277" i="4"/>
  <c r="I284" i="4"/>
  <c r="I281" i="4"/>
  <c r="G279" i="4"/>
  <c r="G277" i="4"/>
  <c r="F284" i="4"/>
  <c r="G301" i="4"/>
  <c r="F139" i="3"/>
  <c r="F138" i="3"/>
  <c r="E156" i="6" l="1"/>
  <c r="F160" i="6"/>
  <c r="F357" i="4"/>
  <c r="F369" i="4"/>
  <c r="F392" i="4"/>
  <c r="F704" i="4"/>
  <c r="G278" i="4"/>
  <c r="G290" i="4"/>
  <c r="G293" i="4"/>
  <c r="G296" i="4" s="1"/>
  <c r="G281" i="4"/>
  <c r="G284" i="4" s="1"/>
  <c r="G292" i="4"/>
  <c r="G295" i="4" s="1"/>
  <c r="G280" i="4"/>
  <c r="F72" i="2"/>
  <c r="I193" i="4"/>
  <c r="F71" i="2"/>
  <c r="F106" i="3"/>
  <c r="F109" i="3" s="1"/>
  <c r="F111" i="3"/>
  <c r="F112" i="3" s="1"/>
  <c r="F107" i="3"/>
  <c r="I174" i="4"/>
  <c r="I173" i="4"/>
  <c r="I172" i="4"/>
  <c r="I170" i="4"/>
  <c r="I168" i="4"/>
  <c r="F370" i="4" l="1"/>
  <c r="F358" i="4"/>
  <c r="F393" i="4"/>
  <c r="F705" i="4"/>
  <c r="F115" i="3"/>
  <c r="F108" i="3"/>
  <c r="F114" i="3" s="1"/>
  <c r="F359" i="4" l="1"/>
  <c r="F371" i="4"/>
  <c r="F394" i="4"/>
  <c r="F706" i="4"/>
  <c r="G181" i="4"/>
  <c r="F372" i="4" l="1"/>
  <c r="F395" i="4"/>
  <c r="F707" i="4"/>
  <c r="I45" i="4"/>
  <c r="I71" i="4"/>
  <c r="I636" i="4"/>
  <c r="F65" i="2"/>
  <c r="E82" i="3"/>
  <c r="F708" i="4" l="1"/>
  <c r="I635" i="4"/>
  <c r="I70" i="4"/>
  <c r="H634" i="4"/>
  <c r="I634" i="4" s="1"/>
  <c r="H627" i="4"/>
  <c r="E27" i="3"/>
  <c r="F51" i="2"/>
  <c r="I633" i="4"/>
  <c r="I631" i="4"/>
  <c r="I630" i="4"/>
  <c r="H629" i="4"/>
  <c r="I628" i="4"/>
  <c r="I626" i="4"/>
  <c r="I625" i="4"/>
  <c r="I623" i="4"/>
  <c r="F61" i="2"/>
  <c r="I44" i="4" s="1"/>
  <c r="C30" i="2"/>
  <c r="C28" i="2"/>
  <c r="I36" i="4"/>
  <c r="I29" i="4"/>
  <c r="I27" i="4"/>
  <c r="I42" i="4"/>
  <c r="I59" i="4"/>
  <c r="H58" i="4"/>
  <c r="H62" i="4" s="1"/>
  <c r="I54" i="4"/>
  <c r="H52" i="4"/>
  <c r="F53" i="2"/>
  <c r="E147" i="3"/>
  <c r="E86" i="3"/>
  <c r="E30" i="3"/>
  <c r="C29" i="2"/>
  <c r="F50" i="2"/>
  <c r="I52" i="4" s="1"/>
  <c r="H72" i="4"/>
  <c r="I72" i="4" s="1"/>
  <c r="I68" i="4"/>
  <c r="I66" i="4"/>
  <c r="I65" i="4"/>
  <c r="H64" i="4"/>
  <c r="H67" i="4" s="1"/>
  <c r="I67" i="4" s="1"/>
  <c r="I63" i="4"/>
  <c r="I61" i="4"/>
  <c r="I60" i="4"/>
  <c r="I57" i="4"/>
  <c r="H56" i="4"/>
  <c r="I55" i="4"/>
  <c r="I53" i="4"/>
  <c r="F79" i="2"/>
  <c r="G13" i="4" l="1"/>
  <c r="G643" i="4"/>
  <c r="I627" i="4"/>
  <c r="I624" i="4"/>
  <c r="I629" i="4"/>
  <c r="H632" i="4"/>
  <c r="I632" i="4" s="1"/>
  <c r="G12" i="4"/>
  <c r="I58" i="4"/>
  <c r="I62" i="4" s="1"/>
  <c r="H69" i="4"/>
  <c r="I69" i="4" s="1"/>
  <c r="I64" i="4"/>
  <c r="G567" i="4" l="1"/>
  <c r="K567" i="4" s="1"/>
  <c r="G574" i="4"/>
  <c r="K574" i="4" s="1"/>
  <c r="G562" i="4"/>
  <c r="K562" i="4" s="1"/>
  <c r="G566" i="4"/>
  <c r="K566" i="4" s="1"/>
  <c r="G568" i="4"/>
  <c r="K568" i="4" s="1"/>
  <c r="G570" i="4"/>
  <c r="K570" i="4" s="1"/>
  <c r="G654" i="4"/>
  <c r="K654" i="4" s="1"/>
  <c r="G655" i="4"/>
  <c r="K655" i="4" s="1"/>
  <c r="G653" i="4"/>
  <c r="G650" i="4"/>
  <c r="G657" i="4"/>
  <c r="F27" i="3"/>
  <c r="G702" i="4"/>
  <c r="G632" i="4"/>
  <c r="G627" i="4"/>
  <c r="G631" i="4"/>
  <c r="G634" i="4"/>
  <c r="G630" i="4"/>
  <c r="G629" i="4"/>
  <c r="G624" i="4"/>
  <c r="G52" i="4"/>
  <c r="G72" i="4"/>
  <c r="G67" i="4"/>
  <c r="G54" i="4"/>
  <c r="G69" i="4"/>
  <c r="G56" i="4"/>
  <c r="G64" i="4"/>
  <c r="G66" i="4"/>
  <c r="G65" i="4"/>
  <c r="G62" i="4"/>
  <c r="G51" i="4"/>
  <c r="L568" i="4" l="1"/>
  <c r="M568" i="4"/>
  <c r="M566" i="4"/>
  <c r="L566" i="4"/>
  <c r="L562" i="4"/>
  <c r="M562" i="4"/>
  <c r="L570" i="4"/>
  <c r="M570" i="4"/>
  <c r="M574" i="4"/>
  <c r="L574" i="4"/>
  <c r="M567" i="4"/>
  <c r="L567" i="4"/>
  <c r="G622" i="4"/>
  <c r="G648" i="4"/>
  <c r="M655" i="4"/>
  <c r="L655" i="4"/>
  <c r="M654" i="4"/>
  <c r="L654" i="4"/>
  <c r="F88" i="2"/>
  <c r="F87" i="2"/>
  <c r="F86" i="2"/>
  <c r="F76" i="2"/>
  <c r="H132" i="4"/>
  <c r="F64" i="2"/>
  <c r="I126" i="4" s="1"/>
  <c r="H126" i="4"/>
  <c r="H124" i="4"/>
  <c r="F124" i="4"/>
  <c r="I56" i="4" l="1"/>
  <c r="E154" i="3"/>
  <c r="F154" i="3" s="1"/>
  <c r="E155" i="3"/>
  <c r="F155" i="3" s="1"/>
  <c r="I132" i="4"/>
  <c r="I124" i="4"/>
  <c r="F60" i="2"/>
  <c r="I13" i="4" s="1"/>
  <c r="H13" i="4"/>
  <c r="G305" i="4" l="1"/>
  <c r="G306" i="4"/>
  <c r="C14" i="1"/>
  <c r="H380" i="4" l="1"/>
  <c r="H386" i="4" s="1"/>
  <c r="F59" i="2"/>
  <c r="I382" i="4"/>
  <c r="H609" i="4"/>
  <c r="F58" i="2"/>
  <c r="I139" i="4"/>
  <c r="I125" i="4"/>
  <c r="I30" i="4"/>
  <c r="I380" i="4" l="1"/>
  <c r="I386" i="4" s="1"/>
  <c r="I609" i="4"/>
  <c r="I14" i="4" l="1"/>
  <c r="F66" i="2" l="1"/>
  <c r="I33" i="4"/>
  <c r="I32" i="4"/>
  <c r="F14" i="4"/>
  <c r="F16" i="4" l="1"/>
  <c r="D6" i="3" l="1"/>
  <c r="D8" i="3" s="1"/>
  <c r="F52" i="2" l="1"/>
  <c r="E6" i="3" l="1"/>
  <c r="E8" i="3" l="1"/>
  <c r="F82" i="3"/>
  <c r="F57" i="2"/>
  <c r="F56" i="2"/>
  <c r="F55" i="2"/>
  <c r="I16" i="4"/>
  <c r="F54" i="2"/>
  <c r="H31" i="4"/>
  <c r="F49" i="2"/>
  <c r="I31" i="4" s="1"/>
  <c r="F31" i="4"/>
  <c r="F30" i="4"/>
  <c r="F48" i="3" l="1"/>
  <c r="F73" i="3" s="1"/>
  <c r="F35" i="3"/>
  <c r="F181" i="3"/>
  <c r="F36" i="3"/>
  <c r="F131" i="3"/>
  <c r="F52" i="3"/>
  <c r="F53" i="3"/>
  <c r="F54" i="3"/>
  <c r="F55" i="3"/>
  <c r="F47" i="3"/>
  <c r="F34" i="4"/>
  <c r="F33" i="4"/>
  <c r="F32" i="4"/>
  <c r="E85" i="3"/>
  <c r="F85" i="3" s="1"/>
  <c r="F37" i="3" l="1"/>
  <c r="F40" i="3" s="1"/>
  <c r="F41" i="3" s="1"/>
  <c r="G575" i="4"/>
  <c r="K575" i="4" s="1"/>
  <c r="G576" i="4"/>
  <c r="K576" i="4" s="1"/>
  <c r="G652" i="4"/>
  <c r="K652" i="4" s="1"/>
  <c r="G651" i="4"/>
  <c r="K651" i="4" s="1"/>
  <c r="G656" i="4"/>
  <c r="K656" i="4" s="1"/>
  <c r="G155" i="4"/>
  <c r="G156" i="4"/>
  <c r="G157" i="4"/>
  <c r="G159" i="4"/>
  <c r="G158" i="4"/>
  <c r="G160" i="4"/>
  <c r="F182" i="3"/>
  <c r="G253" i="4"/>
  <c r="G254" i="4"/>
  <c r="G255" i="4"/>
  <c r="G256" i="4"/>
  <c r="G257" i="4"/>
  <c r="G258" i="4"/>
  <c r="G259" i="4"/>
  <c r="G190" i="4"/>
  <c r="F33" i="3"/>
  <c r="F94" i="3" s="1"/>
  <c r="G149" i="4"/>
  <c r="F38" i="3"/>
  <c r="G376" i="4"/>
  <c r="F132" i="3"/>
  <c r="F133" i="3" s="1"/>
  <c r="G45" i="4"/>
  <c r="F51" i="3"/>
  <c r="F96" i="3"/>
  <c r="G633" i="4"/>
  <c r="F69" i="3"/>
  <c r="G61" i="4"/>
  <c r="G626" i="4"/>
  <c r="G625" i="4"/>
  <c r="G55" i="4"/>
  <c r="G53" i="4"/>
  <c r="F65" i="3"/>
  <c r="G19" i="4" s="1"/>
  <c r="F70" i="3"/>
  <c r="F72" i="3"/>
  <c r="G15" i="4"/>
  <c r="G23" i="4"/>
  <c r="G14" i="4"/>
  <c r="G16" i="4"/>
  <c r="G42" i="4"/>
  <c r="G27" i="4"/>
  <c r="F83" i="3"/>
  <c r="F67" i="3"/>
  <c r="F99" i="3" l="1"/>
  <c r="F101" i="3"/>
  <c r="K337" i="7"/>
  <c r="K341" i="7"/>
  <c r="K345" i="7"/>
  <c r="K343" i="7"/>
  <c r="K342" i="7"/>
  <c r="K340" i="7"/>
  <c r="G563" i="4"/>
  <c r="K563" i="4" s="1"/>
  <c r="G564" i="4"/>
  <c r="G565" i="4"/>
  <c r="K565" i="4" s="1"/>
  <c r="G569" i="4"/>
  <c r="K569" i="4" s="1"/>
  <c r="G571" i="4"/>
  <c r="K571" i="4" s="1"/>
  <c r="G572" i="4"/>
  <c r="K572" i="4" s="1"/>
  <c r="G573" i="4"/>
  <c r="K573" i="4" s="1"/>
  <c r="M576" i="4"/>
  <c r="L576" i="4"/>
  <c r="L575" i="4"/>
  <c r="M575" i="4"/>
  <c r="G636" i="4"/>
  <c r="G649" i="4"/>
  <c r="K649" i="4" s="1"/>
  <c r="M656" i="4"/>
  <c r="L656" i="4"/>
  <c r="M651" i="4"/>
  <c r="L651" i="4"/>
  <c r="G666" i="4"/>
  <c r="K666" i="4" s="1"/>
  <c r="G667" i="4"/>
  <c r="K667" i="4" s="1"/>
  <c r="G668" i="4"/>
  <c r="K668" i="4" s="1"/>
  <c r="G669" i="4"/>
  <c r="K669" i="4" s="1"/>
  <c r="G670" i="4"/>
  <c r="K670" i="4" s="1"/>
  <c r="G671" i="4"/>
  <c r="K671" i="4" s="1"/>
  <c r="M652" i="4"/>
  <c r="L652" i="4"/>
  <c r="G662" i="4"/>
  <c r="K662" i="4" s="1"/>
  <c r="G547" i="4"/>
  <c r="K547" i="4" s="1"/>
  <c r="G548" i="4"/>
  <c r="K548" i="4" s="1"/>
  <c r="G549" i="4"/>
  <c r="K549" i="4" s="1"/>
  <c r="G379" i="4"/>
  <c r="F45" i="3"/>
  <c r="G541" i="4"/>
  <c r="G539" i="4"/>
  <c r="K539" i="4" s="1"/>
  <c r="G542" i="4"/>
  <c r="K542" i="4" s="1"/>
  <c r="G540" i="4"/>
  <c r="K540" i="4" s="1"/>
  <c r="G543" i="4"/>
  <c r="K543" i="4" s="1"/>
  <c r="F117" i="3"/>
  <c r="G609" i="4"/>
  <c r="G150" i="4"/>
  <c r="G605" i="4"/>
  <c r="G606" i="4"/>
  <c r="G608" i="4"/>
  <c r="G151" i="4"/>
  <c r="G607" i="4"/>
  <c r="G148" i="4"/>
  <c r="G147" i="4"/>
  <c r="F44" i="3"/>
  <c r="G644" i="4"/>
  <c r="F97" i="3"/>
  <c r="F180" i="3"/>
  <c r="F183" i="3"/>
  <c r="G260" i="4" s="1"/>
  <c r="G189" i="4"/>
  <c r="G191" i="4"/>
  <c r="G261" i="4"/>
  <c r="G613" i="4"/>
  <c r="G615" i="4"/>
  <c r="G614" i="4"/>
  <c r="G616" i="4"/>
  <c r="G210" i="4"/>
  <c r="G211" i="4"/>
  <c r="G212" i="4"/>
  <c r="G213" i="4"/>
  <c r="G214" i="4"/>
  <c r="G215" i="4"/>
  <c r="G216" i="4"/>
  <c r="G381" i="4"/>
  <c r="G380" i="4"/>
  <c r="G378" i="4"/>
  <c r="G386" i="4"/>
  <c r="G345" i="4"/>
  <c r="G343" i="4"/>
  <c r="G342" i="4"/>
  <c r="G341" i="4"/>
  <c r="G337" i="4"/>
  <c r="G340" i="4"/>
  <c r="G382" i="4"/>
  <c r="G377" i="4"/>
  <c r="G387" i="4"/>
  <c r="G697" i="4"/>
  <c r="G698" i="4"/>
  <c r="G388" i="4"/>
  <c r="G699" i="4"/>
  <c r="G700" i="4"/>
  <c r="G389" i="4"/>
  <c r="G701" i="4"/>
  <c r="G390" i="4"/>
  <c r="G391" i="4"/>
  <c r="G703" i="4"/>
  <c r="G704" i="4"/>
  <c r="G392" i="4"/>
  <c r="G705" i="4"/>
  <c r="G393" i="4"/>
  <c r="G394" i="4"/>
  <c r="G706" i="4"/>
  <c r="G395" i="4"/>
  <c r="G707" i="4"/>
  <c r="G708" i="4"/>
  <c r="G661" i="4"/>
  <c r="G663" i="4"/>
  <c r="G664" i="4"/>
  <c r="G665" i="4"/>
  <c r="G383" i="4"/>
  <c r="G384" i="4"/>
  <c r="G385" i="4"/>
  <c r="G38" i="4"/>
  <c r="G20" i="4"/>
  <c r="G40" i="4"/>
  <c r="G36" i="4"/>
  <c r="G68" i="4"/>
  <c r="F118" i="3"/>
  <c r="G623" i="4"/>
  <c r="G44" i="4"/>
  <c r="G71" i="4"/>
  <c r="G63" i="4"/>
  <c r="G628" i="4"/>
  <c r="G21" i="4"/>
  <c r="G17" i="4"/>
  <c r="G18" i="4"/>
  <c r="F283" i="4"/>
  <c r="G165" i="7" l="1"/>
  <c r="K165" i="7" s="1"/>
  <c r="L165" i="7" s="1"/>
  <c r="G170" i="7"/>
  <c r="K170" i="7" s="1"/>
  <c r="L170" i="7" s="1"/>
  <c r="Q170" i="7" s="1"/>
  <c r="G168" i="7"/>
  <c r="K168" i="7" s="1"/>
  <c r="L168" i="7" s="1"/>
  <c r="Q168" i="7" s="1"/>
  <c r="G171" i="7"/>
  <c r="K171" i="7" s="1"/>
  <c r="L171" i="7" s="1"/>
  <c r="Q171" i="7" s="1"/>
  <c r="G173" i="7"/>
  <c r="K173" i="7" s="1"/>
  <c r="L173" i="7" s="1"/>
  <c r="Q173" i="7" s="1"/>
  <c r="G169" i="7"/>
  <c r="G172" i="7"/>
  <c r="K172" i="7" s="1"/>
  <c r="L172" i="7" s="1"/>
  <c r="Q172" i="7" s="1"/>
  <c r="G166" i="7"/>
  <c r="G167" i="7"/>
  <c r="K167" i="7" s="1"/>
  <c r="L167" i="7" s="1"/>
  <c r="Q167" i="7" s="1"/>
  <c r="G174" i="7"/>
  <c r="K174" i="7" s="1"/>
  <c r="L174" i="7" s="1"/>
  <c r="Q174" i="7" s="1"/>
  <c r="G175" i="7"/>
  <c r="K175" i="7" s="1"/>
  <c r="L175" i="7" s="1"/>
  <c r="Q175" i="7" s="1"/>
  <c r="K128" i="7"/>
  <c r="L128" i="7" s="1"/>
  <c r="N128" i="7" s="1"/>
  <c r="K129" i="7"/>
  <c r="L129" i="7" s="1"/>
  <c r="K125" i="7"/>
  <c r="L125" i="7" s="1"/>
  <c r="N125" i="7" s="1"/>
  <c r="K132" i="7"/>
  <c r="L132" i="7" s="1"/>
  <c r="K130" i="7"/>
  <c r="L130" i="7" s="1"/>
  <c r="K126" i="7"/>
  <c r="L126" i="7" s="1"/>
  <c r="N126" i="7" s="1"/>
  <c r="K124" i="7"/>
  <c r="L124" i="7" s="1"/>
  <c r="G206" i="4"/>
  <c r="K200" i="7"/>
  <c r="K202" i="7"/>
  <c r="K204" i="7"/>
  <c r="K203" i="7"/>
  <c r="K205" i="7"/>
  <c r="K206" i="7"/>
  <c r="G239" i="4"/>
  <c r="K240" i="7"/>
  <c r="K242" i="7"/>
  <c r="K243" i="7"/>
  <c r="K244" i="7"/>
  <c r="K245" i="7"/>
  <c r="K246" i="7"/>
  <c r="K247" i="7"/>
  <c r="K248" i="7"/>
  <c r="K249" i="7"/>
  <c r="M342" i="7"/>
  <c r="L342" i="7"/>
  <c r="L343" i="7"/>
  <c r="M343" i="7"/>
  <c r="M345" i="7"/>
  <c r="L345" i="7"/>
  <c r="K338" i="7"/>
  <c r="K346" i="7"/>
  <c r="G357" i="4"/>
  <c r="K350" i="7"/>
  <c r="K352" i="7"/>
  <c r="K351" i="7"/>
  <c r="K353" i="7"/>
  <c r="K354" i="7"/>
  <c r="K355" i="7"/>
  <c r="K356" i="7"/>
  <c r="K357" i="7"/>
  <c r="K358" i="7"/>
  <c r="K359" i="7"/>
  <c r="M340" i="7"/>
  <c r="L340" i="7"/>
  <c r="M341" i="7"/>
  <c r="L341" i="7"/>
  <c r="G365" i="4"/>
  <c r="K363" i="7"/>
  <c r="K365" i="7"/>
  <c r="K367" i="7"/>
  <c r="K364" i="7"/>
  <c r="K366" i="7"/>
  <c r="K368" i="7"/>
  <c r="K369" i="7"/>
  <c r="K370" i="7"/>
  <c r="K371" i="7"/>
  <c r="K372" i="7"/>
  <c r="M337" i="7"/>
  <c r="L337" i="7"/>
  <c r="M571" i="4"/>
  <c r="L571" i="4"/>
  <c r="M569" i="4"/>
  <c r="L569" i="4"/>
  <c r="L572" i="4"/>
  <c r="M572" i="4"/>
  <c r="M565" i="4"/>
  <c r="L565" i="4"/>
  <c r="M573" i="4"/>
  <c r="L573" i="4"/>
  <c r="L563" i="4"/>
  <c r="M563" i="4"/>
  <c r="G249" i="4"/>
  <c r="G248" i="4"/>
  <c r="M666" i="4"/>
  <c r="L666" i="4"/>
  <c r="M667" i="4"/>
  <c r="L667" i="4"/>
  <c r="L649" i="4"/>
  <c r="M649" i="4"/>
  <c r="M670" i="4"/>
  <c r="L670" i="4"/>
  <c r="L669" i="4"/>
  <c r="M669" i="4"/>
  <c r="L671" i="4"/>
  <c r="M671" i="4"/>
  <c r="M668" i="4"/>
  <c r="L668" i="4"/>
  <c r="G247" i="4"/>
  <c r="G246" i="4"/>
  <c r="M662" i="4"/>
  <c r="L662" i="4"/>
  <c r="G709" i="4"/>
  <c r="G710" i="4"/>
  <c r="K710" i="4" s="1"/>
  <c r="G711" i="4"/>
  <c r="K711" i="4" s="1"/>
  <c r="G245" i="4"/>
  <c r="O548" i="4"/>
  <c r="L548" i="4"/>
  <c r="G244" i="4"/>
  <c r="O549" i="4"/>
  <c r="L549" i="4"/>
  <c r="O547" i="4"/>
  <c r="L547" i="4"/>
  <c r="F120" i="3"/>
  <c r="G240" i="4"/>
  <c r="G243" i="4"/>
  <c r="G242" i="4"/>
  <c r="O540" i="4"/>
  <c r="L540" i="4"/>
  <c r="O543" i="4"/>
  <c r="L543" i="4"/>
  <c r="L542" i="4"/>
  <c r="O542" i="4"/>
  <c r="O539" i="4"/>
  <c r="L539" i="4"/>
  <c r="G187" i="4"/>
  <c r="G182" i="4"/>
  <c r="G353" i="4"/>
  <c r="G201" i="4"/>
  <c r="G351" i="4"/>
  <c r="G371" i="4"/>
  <c r="G350" i="4"/>
  <c r="G204" i="4"/>
  <c r="G203" i="4"/>
  <c r="G205" i="4"/>
  <c r="G202" i="4"/>
  <c r="G200" i="4"/>
  <c r="G352" i="4"/>
  <c r="G372" i="4"/>
  <c r="G359" i="4"/>
  <c r="G358" i="4"/>
  <c r="G364" i="4"/>
  <c r="G356" i="4"/>
  <c r="G355" i="4"/>
  <c r="G363" i="4"/>
  <c r="G369" i="4"/>
  <c r="G368" i="4"/>
  <c r="G366" i="4"/>
  <c r="G354" i="4"/>
  <c r="G367" i="4"/>
  <c r="G370" i="4"/>
  <c r="G272" i="4"/>
  <c r="G273" i="4"/>
  <c r="G265" i="4"/>
  <c r="G266" i="4"/>
  <c r="G271" i="4"/>
  <c r="G267" i="4"/>
  <c r="G268" i="4"/>
  <c r="G269" i="4"/>
  <c r="G344" i="4"/>
  <c r="G338" i="4"/>
  <c r="G339" i="4"/>
  <c r="G346" i="4"/>
  <c r="G165" i="4"/>
  <c r="G130" i="4"/>
  <c r="F64" i="3"/>
  <c r="G129" i="4"/>
  <c r="G124" i="4"/>
  <c r="G143" i="4"/>
  <c r="G140" i="4"/>
  <c r="G70" i="4"/>
  <c r="G635" i="4"/>
  <c r="Q165" i="7" l="1"/>
  <c r="N124" i="7"/>
  <c r="K131" i="7"/>
  <c r="L131" i="7" s="1"/>
  <c r="K127" i="7"/>
  <c r="L127" i="7" s="1"/>
  <c r="N127" i="7" s="1"/>
  <c r="G228" i="4"/>
  <c r="K233" i="7"/>
  <c r="L233" i="7" s="1"/>
  <c r="K226" i="7"/>
  <c r="L226" i="7" s="1"/>
  <c r="K223" i="7"/>
  <c r="L223" i="7" s="1"/>
  <c r="K229" i="7"/>
  <c r="L229" i="7" s="1"/>
  <c r="K235" i="7"/>
  <c r="L235" i="7" s="1"/>
  <c r="K228" i="7"/>
  <c r="L228" i="7" s="1"/>
  <c r="K234" i="7"/>
  <c r="L234" i="7" s="1"/>
  <c r="L206" i="7"/>
  <c r="Q206" i="7"/>
  <c r="M249" i="7"/>
  <c r="L249" i="7"/>
  <c r="L205" i="7"/>
  <c r="Q205" i="7"/>
  <c r="M248" i="7"/>
  <c r="L248" i="7"/>
  <c r="L203" i="7"/>
  <c r="Q203" i="7"/>
  <c r="L240" i="7"/>
  <c r="M240" i="7"/>
  <c r="L246" i="7"/>
  <c r="M246" i="7"/>
  <c r="M245" i="7"/>
  <c r="L245" i="7"/>
  <c r="L243" i="7"/>
  <c r="M243" i="7"/>
  <c r="K239" i="7"/>
  <c r="M247" i="7"/>
  <c r="L247" i="7"/>
  <c r="Q204" i="7"/>
  <c r="L204" i="7"/>
  <c r="Q202" i="7"/>
  <c r="L202" i="7"/>
  <c r="G241" i="4"/>
  <c r="Q200" i="7"/>
  <c r="L200" i="7"/>
  <c r="M244" i="7"/>
  <c r="L244" i="7"/>
  <c r="M242" i="7"/>
  <c r="L242" i="7"/>
  <c r="L350" i="7"/>
  <c r="M350" i="7"/>
  <c r="M369" i="7"/>
  <c r="L369" i="7"/>
  <c r="M368" i="7"/>
  <c r="L368" i="7"/>
  <c r="L357" i="7"/>
  <c r="M357" i="7"/>
  <c r="M356" i="7"/>
  <c r="L356" i="7"/>
  <c r="L367" i="7"/>
  <c r="M367" i="7"/>
  <c r="M355" i="7"/>
  <c r="L355" i="7"/>
  <c r="L365" i="7"/>
  <c r="M365" i="7"/>
  <c r="L354" i="7"/>
  <c r="M354" i="7"/>
  <c r="M346" i="7"/>
  <c r="L346" i="7"/>
  <c r="M338" i="7"/>
  <c r="L338" i="7"/>
  <c r="M363" i="7"/>
  <c r="L363" i="7"/>
  <c r="L353" i="7"/>
  <c r="M353" i="7"/>
  <c r="L371" i="7"/>
  <c r="M371" i="7"/>
  <c r="L359" i="7"/>
  <c r="M359" i="7"/>
  <c r="M366" i="7"/>
  <c r="L366" i="7"/>
  <c r="M364" i="7"/>
  <c r="L364" i="7"/>
  <c r="M351" i="7"/>
  <c r="L351" i="7"/>
  <c r="L372" i="7"/>
  <c r="M372" i="7"/>
  <c r="L370" i="7"/>
  <c r="M370" i="7"/>
  <c r="L358" i="7"/>
  <c r="M358" i="7"/>
  <c r="M352" i="7"/>
  <c r="L352" i="7"/>
  <c r="K184" i="7"/>
  <c r="K183" i="7"/>
  <c r="K185" i="7"/>
  <c r="K186" i="7"/>
  <c r="K187" i="7"/>
  <c r="K188" i="7"/>
  <c r="L710" i="4"/>
  <c r="M710" i="4"/>
  <c r="L711" i="4"/>
  <c r="M711" i="4"/>
  <c r="O550" i="4"/>
  <c r="G225" i="4"/>
  <c r="L550" i="4"/>
  <c r="G233" i="4"/>
  <c r="G229" i="4"/>
  <c r="G235" i="4"/>
  <c r="G234" i="4"/>
  <c r="G223" i="4"/>
  <c r="G186" i="4"/>
  <c r="G188" i="4"/>
  <c r="G185" i="4"/>
  <c r="F126" i="3"/>
  <c r="F125" i="3"/>
  <c r="G226" i="4"/>
  <c r="G184" i="4"/>
  <c r="G183" i="4"/>
  <c r="G193" i="4"/>
  <c r="G175" i="4"/>
  <c r="G167" i="4"/>
  <c r="G166" i="4"/>
  <c r="G174" i="4"/>
  <c r="G173" i="4"/>
  <c r="G169" i="4"/>
  <c r="G172" i="4"/>
  <c r="G168" i="4"/>
  <c r="G171" i="4"/>
  <c r="G170" i="4"/>
  <c r="C16" i="1"/>
  <c r="M360" i="7" l="1"/>
  <c r="L360" i="7"/>
  <c r="B35" i="8" s="1"/>
  <c r="K222" i="7"/>
  <c r="L222" i="7" s="1"/>
  <c r="K221" i="7"/>
  <c r="L221" i="7" s="1"/>
  <c r="G227" i="4"/>
  <c r="K227" i="7"/>
  <c r="L227" i="7" s="1"/>
  <c r="L133" i="7"/>
  <c r="L236" i="7"/>
  <c r="B50" i="8" s="1"/>
  <c r="N133" i="7"/>
  <c r="M239" i="7"/>
  <c r="L239" i="7"/>
  <c r="L373" i="7"/>
  <c r="B36" i="8" s="1"/>
  <c r="M373" i="7"/>
  <c r="L188" i="7"/>
  <c r="Q188" i="7"/>
  <c r="Q187" i="7"/>
  <c r="L187" i="7"/>
  <c r="L186" i="7"/>
  <c r="Q186" i="7"/>
  <c r="Q185" i="7"/>
  <c r="L185" i="7"/>
  <c r="L183" i="7"/>
  <c r="Q183" i="7"/>
  <c r="L184" i="7"/>
  <c r="Q184" i="7"/>
  <c r="B56" i="6"/>
  <c r="B114" i="6" s="1"/>
  <c r="B112" i="8"/>
  <c r="N56" i="6"/>
  <c r="N56" i="8"/>
  <c r="G222" i="4"/>
  <c r="G224" i="4"/>
  <c r="G221" i="4"/>
  <c r="F128" i="3"/>
  <c r="F127" i="3"/>
  <c r="G179" i="4"/>
  <c r="G180" i="4"/>
  <c r="G283" i="4"/>
  <c r="N135" i="7" l="1"/>
  <c r="H13" i="8"/>
  <c r="L135" i="7"/>
  <c r="B13" i="8"/>
  <c r="G642" i="4"/>
  <c r="G641" i="4"/>
  <c r="G640" i="4"/>
  <c r="H22" i="4"/>
  <c r="I21" i="4"/>
  <c r="I20" i="4"/>
  <c r="I19" i="4"/>
  <c r="I18" i="4"/>
  <c r="I26" i="4"/>
  <c r="I23" i="4"/>
  <c r="H46" i="4"/>
  <c r="I39" i="4"/>
  <c r="H35" i="4"/>
  <c r="H41" i="4" s="1"/>
  <c r="F35" i="4"/>
  <c r="F29" i="4"/>
  <c r="G29" i="4" s="1"/>
  <c r="H25" i="4"/>
  <c r="F25" i="4"/>
  <c r="H24" i="4"/>
  <c r="H28" i="4" s="1"/>
  <c r="F47" i="2"/>
  <c r="F24" i="4"/>
  <c r="H15" i="4"/>
  <c r="F46" i="2"/>
  <c r="I15" i="4" s="1"/>
  <c r="F22" i="4"/>
  <c r="G22" i="4" s="1"/>
  <c r="F28" i="4" l="1"/>
  <c r="G28" i="4" s="1"/>
  <c r="G24" i="4"/>
  <c r="F37" i="4"/>
  <c r="G35" i="4"/>
  <c r="F26" i="4"/>
  <c r="G26" i="4" s="1"/>
  <c r="G25" i="4"/>
  <c r="I24" i="4"/>
  <c r="I28" i="4" s="1"/>
  <c r="H43" i="4"/>
  <c r="F41" i="4"/>
  <c r="G41" i="4" s="1"/>
  <c r="F43" i="4"/>
  <c r="F39" i="4" l="1"/>
  <c r="G39" i="4" s="1"/>
  <c r="G37" i="4"/>
  <c r="F46" i="4"/>
  <c r="G46" i="4" s="1"/>
  <c r="G43" i="4"/>
  <c r="I43" i="4"/>
  <c r="F75" i="2"/>
  <c r="I141" i="4"/>
  <c r="I171" i="4"/>
  <c r="F70" i="2"/>
  <c r="I165" i="4"/>
  <c r="F44" i="2"/>
  <c r="H143" i="4"/>
  <c r="I142" i="4"/>
  <c r="I140" i="4"/>
  <c r="H140" i="4"/>
  <c r="F142" i="4"/>
  <c r="F139" i="4"/>
  <c r="G139" i="4" s="1"/>
  <c r="F141" i="4" l="1"/>
  <c r="G141" i="4" s="1"/>
  <c r="G142" i="4"/>
  <c r="I143" i="4"/>
  <c r="I17" i="4" l="1"/>
  <c r="E3" i="4" l="1"/>
  <c r="H10" i="4"/>
  <c r="I10" i="4"/>
  <c r="E59" i="3"/>
  <c r="F59" i="3" s="1"/>
  <c r="F11" i="4"/>
  <c r="G11" i="4" s="1"/>
  <c r="F10" i="4"/>
  <c r="G10" i="4" s="1"/>
  <c r="G9" i="4"/>
  <c r="G131" i="4" l="1"/>
  <c r="D64" i="2"/>
  <c r="I25" i="4"/>
  <c r="I46" i="4"/>
  <c r="I22" i="4"/>
  <c r="I35" i="4"/>
  <c r="I41" i="4" s="1"/>
  <c r="I388" i="4" l="1"/>
  <c r="I390" i="4"/>
  <c r="I393" i="4"/>
  <c r="I395" i="4"/>
  <c r="F147" i="3"/>
  <c r="H282" i="4"/>
  <c r="H279" i="4"/>
  <c r="F82" i="2"/>
  <c r="F285" i="4" l="1"/>
  <c r="E137" i="3"/>
  <c r="E57" i="3" l="1"/>
  <c r="E79" i="3" l="1"/>
  <c r="D20" i="1" s="1"/>
  <c r="I127" i="4"/>
  <c r="I80" i="3" l="1"/>
  <c r="F79" i="3"/>
  <c r="E81" i="3"/>
  <c r="I81" i="3" s="1"/>
  <c r="A25" i="6"/>
  <c r="D22" i="1" l="1"/>
  <c r="C21" i="1"/>
  <c r="E146" i="3" s="1"/>
  <c r="F146" i="3" s="1"/>
  <c r="D21" i="1" l="1"/>
  <c r="A18" i="6" l="1"/>
  <c r="A14" i="6"/>
  <c r="A6" i="6"/>
  <c r="F67" i="2"/>
  <c r="I128" i="4"/>
  <c r="B67" i="2"/>
  <c r="F132" i="4"/>
  <c r="F125" i="4"/>
  <c r="G127" i="4" l="1"/>
  <c r="F126" i="4"/>
  <c r="G126" i="4" s="1"/>
  <c r="G125" i="4"/>
  <c r="D67" i="2"/>
  <c r="G132" i="4"/>
  <c r="L454" i="4" l="1"/>
  <c r="B54" i="6" s="1"/>
  <c r="B106" i="6" s="1"/>
  <c r="H128" i="7"/>
  <c r="H344" i="7"/>
  <c r="H261" i="7"/>
  <c r="H182" i="7"/>
  <c r="I339" i="7"/>
  <c r="J339" i="7" s="1"/>
  <c r="K339" i="7" s="1"/>
  <c r="I420" i="7"/>
  <c r="J420" i="7" s="1"/>
  <c r="K420" i="7" s="1"/>
  <c r="I344" i="7"/>
  <c r="J344" i="7" s="1"/>
  <c r="K344" i="7" s="1"/>
  <c r="H339" i="7"/>
  <c r="I261" i="7"/>
  <c r="J261" i="7" s="1"/>
  <c r="K261" i="7" s="1"/>
  <c r="H495" i="7"/>
  <c r="H179" i="7"/>
  <c r="I179" i="7" s="1"/>
  <c r="J179" i="7" s="1"/>
  <c r="K179" i="7" s="1"/>
  <c r="I459" i="7"/>
  <c r="J459" i="7" s="1"/>
  <c r="K459" i="7" s="1"/>
  <c r="H400" i="7"/>
  <c r="H410" i="7" s="1"/>
  <c r="H225" i="7"/>
  <c r="M225" i="7" s="1"/>
  <c r="H420" i="7"/>
  <c r="H255" i="7"/>
  <c r="H47" i="7"/>
  <c r="I648" i="7"/>
  <c r="J648" i="7" s="1"/>
  <c r="K648" i="7" s="1"/>
  <c r="I521" i="7"/>
  <c r="J521" i="7" s="1"/>
  <c r="K521" i="7" s="1"/>
  <c r="H241" i="7"/>
  <c r="H260" i="7"/>
  <c r="I495" i="7"/>
  <c r="J495" i="7" s="1"/>
  <c r="K495" i="7" s="1"/>
  <c r="I166" i="7"/>
  <c r="J166" i="7" s="1"/>
  <c r="K166" i="7" s="1"/>
  <c r="L166" i="7" s="1"/>
  <c r="I531" i="7"/>
  <c r="J531" i="7" s="1"/>
  <c r="K531" i="7" s="1"/>
  <c r="H195" i="7"/>
  <c r="I195" i="7" s="1"/>
  <c r="J195" i="7" s="1"/>
  <c r="K195" i="7" s="1"/>
  <c r="H224" i="7"/>
  <c r="M224" i="7" s="1"/>
  <c r="M230" i="7" s="1"/>
  <c r="H166" i="7"/>
  <c r="H648" i="7"/>
  <c r="I534" i="7"/>
  <c r="J534" i="7" s="1"/>
  <c r="K534" i="7" s="1"/>
  <c r="H521" i="7"/>
  <c r="H267" i="7"/>
  <c r="H709" i="7"/>
  <c r="I255" i="7"/>
  <c r="J255" i="7" s="1"/>
  <c r="K255" i="7" s="1"/>
  <c r="I260" i="7"/>
  <c r="J260" i="7" s="1"/>
  <c r="K260" i="7" s="1"/>
  <c r="I400" i="7"/>
  <c r="H531" i="7"/>
  <c r="I241" i="7"/>
  <c r="J241" i="7" s="1"/>
  <c r="K241" i="7" s="1"/>
  <c r="I225" i="7"/>
  <c r="J225" i="7" s="1"/>
  <c r="K225" i="7" s="1"/>
  <c r="L225" i="7" s="1"/>
  <c r="H534" i="7"/>
  <c r="I224" i="7"/>
  <c r="J224" i="7" s="1"/>
  <c r="K224" i="7" s="1"/>
  <c r="L224" i="7" s="1"/>
  <c r="H192" i="7"/>
  <c r="I192" i="7" s="1"/>
  <c r="J192" i="7" s="1"/>
  <c r="K192" i="7" s="1"/>
  <c r="I709" i="7"/>
  <c r="J709" i="7" s="1"/>
  <c r="K709" i="7" s="1"/>
  <c r="H459" i="7"/>
  <c r="I564" i="7"/>
  <c r="J564" i="7" s="1"/>
  <c r="K564" i="7" s="1"/>
  <c r="I435" i="7"/>
  <c r="J435" i="7" s="1"/>
  <c r="K435" i="7" s="1"/>
  <c r="H427" i="7"/>
  <c r="I473" i="7"/>
  <c r="J473" i="7" s="1"/>
  <c r="K473" i="7" s="1"/>
  <c r="H271" i="7"/>
  <c r="H435" i="7"/>
  <c r="I699" i="7"/>
  <c r="J699" i="7" s="1"/>
  <c r="K699" i="7" s="1"/>
  <c r="H473" i="7"/>
  <c r="I427" i="7"/>
  <c r="J427" i="7" s="1"/>
  <c r="K427" i="7" s="1"/>
  <c r="I481" i="7"/>
  <c r="J481" i="7" s="1"/>
  <c r="K481" i="7" s="1"/>
  <c r="H468" i="7"/>
  <c r="H481" i="7"/>
  <c r="I158" i="7"/>
  <c r="J158" i="7" s="1"/>
  <c r="K158" i="7" s="1"/>
  <c r="H158" i="7"/>
  <c r="I468" i="7"/>
  <c r="J468" i="7" s="1"/>
  <c r="K468" i="7" s="1"/>
  <c r="I650" i="7"/>
  <c r="J650" i="7" s="1"/>
  <c r="K650" i="7" s="1"/>
  <c r="I169" i="7"/>
  <c r="J169" i="7" s="1"/>
  <c r="K169" i="7" s="1"/>
  <c r="L169" i="7" s="1"/>
  <c r="Q169" i="7" s="1"/>
  <c r="H169" i="7"/>
  <c r="H525" i="7"/>
  <c r="I525" i="7" s="1"/>
  <c r="J525" i="7" s="1"/>
  <c r="K525" i="7" s="1"/>
  <c r="I653" i="7"/>
  <c r="J653" i="7" s="1"/>
  <c r="K653" i="7" s="1"/>
  <c r="H653" i="7"/>
  <c r="H657" i="7"/>
  <c r="I657" i="7" s="1"/>
  <c r="J657" i="7" s="1"/>
  <c r="K657" i="7" s="1"/>
  <c r="J101" i="4"/>
  <c r="K101" i="4" s="1"/>
  <c r="J78" i="4"/>
  <c r="K78" i="4" s="1"/>
  <c r="L78" i="4" s="1"/>
  <c r="L85" i="4" s="1"/>
  <c r="J584" i="4"/>
  <c r="K584" i="4" s="1"/>
  <c r="H657" i="4"/>
  <c r="I657" i="4" s="1"/>
  <c r="J657" i="4" s="1"/>
  <c r="K657" i="4" s="1"/>
  <c r="M657" i="4" s="1"/>
  <c r="I564" i="4"/>
  <c r="J564" i="4" s="1"/>
  <c r="K564" i="4" s="1"/>
  <c r="I648" i="4"/>
  <c r="J648" i="4" s="1"/>
  <c r="K648" i="4" s="1"/>
  <c r="L648" i="4" s="1"/>
  <c r="H653" i="4"/>
  <c r="I653" i="4"/>
  <c r="J653" i="4" s="1"/>
  <c r="K653" i="4" s="1"/>
  <c r="H648" i="4"/>
  <c r="I650" i="4"/>
  <c r="J650" i="4" s="1"/>
  <c r="K650" i="4" s="1"/>
  <c r="H195" i="4"/>
  <c r="I195" i="4" s="1"/>
  <c r="J195" i="4" s="1"/>
  <c r="K195" i="4" s="1"/>
  <c r="L195" i="4" s="1"/>
  <c r="L197" i="4" s="1"/>
  <c r="H709" i="4"/>
  <c r="I709" i="4"/>
  <c r="J709" i="4" s="1"/>
  <c r="K709" i="4" s="1"/>
  <c r="J541" i="4"/>
  <c r="K541" i="4" s="1"/>
  <c r="O541" i="4" s="1"/>
  <c r="O544" i="4" s="1"/>
  <c r="J488" i="4"/>
  <c r="K488" i="4" s="1"/>
  <c r="H47" i="4"/>
  <c r="H531" i="4"/>
  <c r="H534" i="4"/>
  <c r="I534" i="4"/>
  <c r="J534" i="4" s="1"/>
  <c r="K534" i="4" s="1"/>
  <c r="I531" i="4"/>
  <c r="J531" i="4" s="1"/>
  <c r="K531" i="4" s="1"/>
  <c r="H525" i="4"/>
  <c r="I525" i="4" s="1"/>
  <c r="H158" i="4"/>
  <c r="I224" i="4"/>
  <c r="I158" i="4"/>
  <c r="H495" i="4"/>
  <c r="H473" i="4"/>
  <c r="I473" i="4"/>
  <c r="H481" i="4"/>
  <c r="I481" i="4"/>
  <c r="I521" i="4"/>
  <c r="H521" i="4"/>
  <c r="I495" i="4"/>
  <c r="I435" i="4"/>
  <c r="H435" i="4"/>
  <c r="H427" i="4"/>
  <c r="I427" i="4"/>
  <c r="H420" i="4"/>
  <c r="I420" i="4"/>
  <c r="I468" i="4"/>
  <c r="H468" i="4"/>
  <c r="I459" i="4"/>
  <c r="H459" i="4"/>
  <c r="H400" i="4"/>
  <c r="H410" i="4" s="1"/>
  <c r="I400" i="4"/>
  <c r="I302" i="4"/>
  <c r="I305" i="4"/>
  <c r="H271" i="4"/>
  <c r="H267" i="4"/>
  <c r="H255" i="4"/>
  <c r="I255" i="4"/>
  <c r="I260" i="4"/>
  <c r="I261" i="4"/>
  <c r="H260" i="4"/>
  <c r="H261" i="4"/>
  <c r="H241" i="4"/>
  <c r="I241" i="4"/>
  <c r="H225" i="4"/>
  <c r="M225" i="4" s="1"/>
  <c r="I225" i="4"/>
  <c r="H182" i="4"/>
  <c r="I182" i="4" s="1"/>
  <c r="H224" i="4"/>
  <c r="M224" i="4" s="1"/>
  <c r="M230" i="4" s="1"/>
  <c r="H179" i="4"/>
  <c r="I179" i="4" s="1"/>
  <c r="H192" i="4"/>
  <c r="I192" i="4" s="1"/>
  <c r="I699" i="4"/>
  <c r="I344" i="4"/>
  <c r="H344" i="4"/>
  <c r="I339" i="4"/>
  <c r="H339" i="4"/>
  <c r="I169" i="4"/>
  <c r="H169" i="4"/>
  <c r="I166" i="4"/>
  <c r="H166" i="4"/>
  <c r="G128" i="4"/>
  <c r="H128" i="4"/>
  <c r="I622" i="4"/>
  <c r="H622" i="4"/>
  <c r="F85" i="2"/>
  <c r="F84" i="2"/>
  <c r="F83" i="2"/>
  <c r="F68" i="2"/>
  <c r="F48" i="2"/>
  <c r="I34" i="4" s="1"/>
  <c r="C17" i="2"/>
  <c r="B8" i="2"/>
  <c r="B11" i="2" s="1"/>
  <c r="L230" i="7" l="1"/>
  <c r="B26" i="8" s="1"/>
  <c r="B104" i="8"/>
  <c r="L179" i="7"/>
  <c r="Q179" i="7"/>
  <c r="L435" i="7"/>
  <c r="L437" i="7" s="1"/>
  <c r="B41" i="8" s="1"/>
  <c r="M435" i="7"/>
  <c r="M437" i="7" s="1"/>
  <c r="M344" i="7"/>
  <c r="L344" i="7"/>
  <c r="L709" i="7"/>
  <c r="M709" i="7"/>
  <c r="M648" i="7"/>
  <c r="L648" i="7"/>
  <c r="L420" i="7"/>
  <c r="L423" i="7" s="1"/>
  <c r="B39" i="8" s="1"/>
  <c r="M420" i="7"/>
  <c r="M423" i="7" s="1"/>
  <c r="Q166" i="7"/>
  <c r="Q176" i="7" s="1"/>
  <c r="Q19" i="8" s="1"/>
  <c r="L176" i="7"/>
  <c r="B19" i="8" s="1"/>
  <c r="L495" i="7"/>
  <c r="L497" i="7" s="1"/>
  <c r="B47" i="8" s="1"/>
  <c r="M495" i="7"/>
  <c r="M497" i="7" s="1"/>
  <c r="M657" i="7"/>
  <c r="L657" i="7"/>
  <c r="L339" i="7"/>
  <c r="M339" i="7"/>
  <c r="M427" i="7"/>
  <c r="M429" i="7" s="1"/>
  <c r="L427" i="7"/>
  <c r="L429" i="7" s="1"/>
  <c r="B40" i="8" s="1"/>
  <c r="H201" i="7"/>
  <c r="I182" i="7"/>
  <c r="J182" i="7" s="1"/>
  <c r="K182" i="7" s="1"/>
  <c r="L473" i="7"/>
  <c r="M473" i="7"/>
  <c r="M255" i="7"/>
  <c r="L255" i="7"/>
  <c r="M534" i="7"/>
  <c r="L534" i="7"/>
  <c r="M653" i="7"/>
  <c r="L653" i="7"/>
  <c r="J400" i="7"/>
  <c r="K400" i="7" s="1"/>
  <c r="I410" i="7"/>
  <c r="J410" i="7" s="1"/>
  <c r="K410" i="7" s="1"/>
  <c r="L158" i="7"/>
  <c r="L161" i="7" s="1"/>
  <c r="B17" i="8" s="1"/>
  <c r="M158" i="7"/>
  <c r="M161" i="7" s="1"/>
  <c r="M481" i="7"/>
  <c r="M483" i="7" s="1"/>
  <c r="L481" i="7"/>
  <c r="L483" i="7" s="1"/>
  <c r="B46" i="8" s="1"/>
  <c r="L525" i="7"/>
  <c r="M525" i="7"/>
  <c r="M699" i="7"/>
  <c r="L699" i="7"/>
  <c r="M650" i="7"/>
  <c r="L650" i="7"/>
  <c r="M468" i="7"/>
  <c r="L468" i="7"/>
  <c r="L476" i="7" s="1"/>
  <c r="B64" i="8" s="1"/>
  <c r="M261" i="7"/>
  <c r="L261" i="7"/>
  <c r="L521" i="7"/>
  <c r="M521" i="7"/>
  <c r="Q192" i="7"/>
  <c r="L192" i="7"/>
  <c r="M241" i="7"/>
  <c r="M250" i="7" s="1"/>
  <c r="L241" i="7"/>
  <c r="L250" i="7" s="1"/>
  <c r="B27" i="8" s="1"/>
  <c r="L195" i="7"/>
  <c r="Q195" i="7"/>
  <c r="M260" i="7"/>
  <c r="L260" i="7"/>
  <c r="M564" i="7"/>
  <c r="M577" i="7" s="1"/>
  <c r="L564" i="7"/>
  <c r="L577" i="7" s="1"/>
  <c r="B58" i="8" s="1"/>
  <c r="E26" i="6"/>
  <c r="E26" i="8"/>
  <c r="M531" i="7"/>
  <c r="L531" i="7"/>
  <c r="L459" i="7"/>
  <c r="L463" i="7" s="1"/>
  <c r="B55" i="8" s="1"/>
  <c r="M459" i="7"/>
  <c r="M463" i="7" s="1"/>
  <c r="N52" i="6"/>
  <c r="N52" i="8"/>
  <c r="B9" i="6"/>
  <c r="B75" i="6" s="1"/>
  <c r="B75" i="8"/>
  <c r="M78" i="4"/>
  <c r="M85" i="4" s="1"/>
  <c r="L101" i="4"/>
  <c r="M101" i="4"/>
  <c r="M107" i="4" s="1"/>
  <c r="M584" i="4"/>
  <c r="M586" i="4" s="1"/>
  <c r="L584" i="4"/>
  <c r="L586" i="4" s="1"/>
  <c r="L657" i="4"/>
  <c r="M564" i="4"/>
  <c r="M577" i="4" s="1"/>
  <c r="L564" i="4"/>
  <c r="L577" i="4" s="1"/>
  <c r="M650" i="4"/>
  <c r="L650" i="4"/>
  <c r="L653" i="4"/>
  <c r="M653" i="4"/>
  <c r="M648" i="4"/>
  <c r="Q195" i="4"/>
  <c r="L709" i="4"/>
  <c r="M709" i="4"/>
  <c r="L541" i="4"/>
  <c r="L544" i="4" s="1"/>
  <c r="L488" i="4"/>
  <c r="L490" i="4" s="1"/>
  <c r="M488" i="4"/>
  <c r="M490" i="4" s="1"/>
  <c r="M531" i="4"/>
  <c r="L531" i="4"/>
  <c r="M534" i="4"/>
  <c r="L534" i="4"/>
  <c r="J427" i="4"/>
  <c r="K427" i="4" s="1"/>
  <c r="L427" i="4" s="1"/>
  <c r="J513" i="4"/>
  <c r="K513" i="4" s="1"/>
  <c r="J512" i="4"/>
  <c r="K512" i="4" s="1"/>
  <c r="J473" i="4"/>
  <c r="K473" i="4" s="1"/>
  <c r="L473" i="4" s="1"/>
  <c r="J474" i="4"/>
  <c r="K474" i="4" s="1"/>
  <c r="J157" i="4"/>
  <c r="K157" i="4" s="1"/>
  <c r="J156" i="4"/>
  <c r="K156" i="4" s="1"/>
  <c r="J160" i="4"/>
  <c r="K160" i="4" s="1"/>
  <c r="J472" i="4"/>
  <c r="K472" i="4" s="1"/>
  <c r="J475" i="4"/>
  <c r="K475" i="4" s="1"/>
  <c r="J159" i="4"/>
  <c r="K159" i="4" s="1"/>
  <c r="J504" i="4"/>
  <c r="K504" i="4" s="1"/>
  <c r="J508" i="4"/>
  <c r="K508" i="4" s="1"/>
  <c r="J503" i="4"/>
  <c r="K503" i="4" s="1"/>
  <c r="J501" i="4"/>
  <c r="K501" i="4" s="1"/>
  <c r="J505" i="4"/>
  <c r="K505" i="4" s="1"/>
  <c r="J507" i="4"/>
  <c r="K507" i="4" s="1"/>
  <c r="J471" i="4"/>
  <c r="K471" i="4" s="1"/>
  <c r="J158" i="4"/>
  <c r="K158" i="4" s="1"/>
  <c r="J155" i="4"/>
  <c r="K155" i="4" s="1"/>
  <c r="J235" i="4"/>
  <c r="K235" i="4" s="1"/>
  <c r="L235" i="4" s="1"/>
  <c r="J233" i="4"/>
  <c r="K233" i="4" s="1"/>
  <c r="L233" i="4" s="1"/>
  <c r="J234" i="4"/>
  <c r="K234" i="4" s="1"/>
  <c r="L234" i="4" s="1"/>
  <c r="J435" i="4"/>
  <c r="K435" i="4" s="1"/>
  <c r="L435" i="4" s="1"/>
  <c r="J480" i="4"/>
  <c r="K480" i="4" s="1"/>
  <c r="L480" i="4" s="1"/>
  <c r="J524" i="4"/>
  <c r="K524" i="4" s="1"/>
  <c r="M524" i="4" s="1"/>
  <c r="J525" i="4"/>
  <c r="K525" i="4" s="1"/>
  <c r="M525" i="4" s="1"/>
  <c r="J481" i="4"/>
  <c r="K481" i="4" s="1"/>
  <c r="J506" i="4"/>
  <c r="K506" i="4" s="1"/>
  <c r="J500" i="4"/>
  <c r="K500" i="4" s="1"/>
  <c r="J494" i="4"/>
  <c r="K494" i="4" s="1"/>
  <c r="J502" i="4"/>
  <c r="K502" i="4" s="1"/>
  <c r="J479" i="4"/>
  <c r="K479" i="4" s="1"/>
  <c r="J493" i="4"/>
  <c r="K493" i="4" s="1"/>
  <c r="J482" i="4"/>
  <c r="K482" i="4" s="1"/>
  <c r="J496" i="4"/>
  <c r="K496" i="4" s="1"/>
  <c r="J426" i="4"/>
  <c r="K426" i="4" s="1"/>
  <c r="J434" i="4"/>
  <c r="K434" i="4" s="1"/>
  <c r="J419" i="4"/>
  <c r="K419" i="4" s="1"/>
  <c r="J421" i="4"/>
  <c r="K421" i="4" s="1"/>
  <c r="J422" i="4"/>
  <c r="K422" i="4" s="1"/>
  <c r="J432" i="4"/>
  <c r="K432" i="4" s="1"/>
  <c r="J436" i="4"/>
  <c r="K436" i="4" s="1"/>
  <c r="J428" i="4"/>
  <c r="K428" i="4" s="1"/>
  <c r="J433" i="4"/>
  <c r="K433" i="4" s="1"/>
  <c r="J467" i="4"/>
  <c r="K467" i="4" s="1"/>
  <c r="J469" i="4"/>
  <c r="K469" i="4" s="1"/>
  <c r="J470" i="4"/>
  <c r="K470" i="4" s="1"/>
  <c r="J466" i="4"/>
  <c r="K466" i="4" s="1"/>
  <c r="J458" i="4"/>
  <c r="K458" i="4" s="1"/>
  <c r="J411" i="4"/>
  <c r="K411" i="4" s="1"/>
  <c r="J409" i="4"/>
  <c r="K409" i="4" s="1"/>
  <c r="J415" i="4"/>
  <c r="K415" i="4" s="1"/>
  <c r="J413" i="4"/>
  <c r="K413" i="4" s="1"/>
  <c r="J412" i="4"/>
  <c r="K412" i="4" s="1"/>
  <c r="J414" i="4"/>
  <c r="K414" i="4" s="1"/>
  <c r="J399" i="4"/>
  <c r="K399" i="4" s="1"/>
  <c r="J405" i="4"/>
  <c r="K405" i="4" s="1"/>
  <c r="J401" i="4"/>
  <c r="K401" i="4" s="1"/>
  <c r="J402" i="4"/>
  <c r="K402" i="4" s="1"/>
  <c r="J403" i="4"/>
  <c r="K403" i="4" s="1"/>
  <c r="J404" i="4"/>
  <c r="K404" i="4" s="1"/>
  <c r="J495" i="4"/>
  <c r="K495" i="4" s="1"/>
  <c r="L495" i="4" s="1"/>
  <c r="J468" i="4"/>
  <c r="K468" i="4" s="1"/>
  <c r="J420" i="4"/>
  <c r="K420" i="4" s="1"/>
  <c r="J521" i="4"/>
  <c r="K521" i="4" s="1"/>
  <c r="I410" i="4"/>
  <c r="J410" i="4" s="1"/>
  <c r="K410" i="4" s="1"/>
  <c r="J400" i="4"/>
  <c r="K400" i="4" s="1"/>
  <c r="J457" i="4"/>
  <c r="K457" i="4" s="1"/>
  <c r="J459" i="4"/>
  <c r="K459" i="4" s="1"/>
  <c r="J460" i="4"/>
  <c r="K460" i="4" s="1"/>
  <c r="J462" i="4"/>
  <c r="K462" i="4" s="1"/>
  <c r="J333" i="4"/>
  <c r="K333" i="4" s="1"/>
  <c r="J309" i="4"/>
  <c r="K309" i="4" s="1"/>
  <c r="J323" i="4"/>
  <c r="K323" i="4" s="1"/>
  <c r="J331" i="4"/>
  <c r="K331" i="4" s="1"/>
  <c r="J325" i="4"/>
  <c r="K325" i="4" s="1"/>
  <c r="J443" i="4"/>
  <c r="K443" i="4" s="1"/>
  <c r="L443" i="4" s="1"/>
  <c r="J328" i="4"/>
  <c r="K328" i="4" s="1"/>
  <c r="J310" i="4"/>
  <c r="K310" i="4" s="1"/>
  <c r="J330" i="4"/>
  <c r="K330" i="4" s="1"/>
  <c r="J313" i="4"/>
  <c r="K313" i="4" s="1"/>
  <c r="J312" i="4"/>
  <c r="K312" i="4" s="1"/>
  <c r="J442" i="4"/>
  <c r="K442" i="4" s="1"/>
  <c r="L442" i="4" s="1"/>
  <c r="J311" i="4"/>
  <c r="K311" i="4" s="1"/>
  <c r="J304" i="4"/>
  <c r="K304" i="4" s="1"/>
  <c r="J320" i="4"/>
  <c r="K320" i="4" s="1"/>
  <c r="J324" i="4"/>
  <c r="K324" i="4" s="1"/>
  <c r="J321" i="4"/>
  <c r="K321" i="4" s="1"/>
  <c r="J332" i="4"/>
  <c r="K332" i="4" s="1"/>
  <c r="J303" i="4"/>
  <c r="K303" i="4" s="1"/>
  <c r="J326" i="4"/>
  <c r="K326" i="4" s="1"/>
  <c r="J327" i="4"/>
  <c r="K327" i="4" s="1"/>
  <c r="J322" i="4"/>
  <c r="K322" i="4" s="1"/>
  <c r="J319" i="4"/>
  <c r="K319" i="4" s="1"/>
  <c r="J314" i="4"/>
  <c r="K314" i="4" s="1"/>
  <c r="J329" i="4"/>
  <c r="K329" i="4" s="1"/>
  <c r="J441" i="4"/>
  <c r="K441" i="4" s="1"/>
  <c r="J307" i="4"/>
  <c r="K307" i="4" s="1"/>
  <c r="J444" i="4"/>
  <c r="K444" i="4" s="1"/>
  <c r="L444" i="4" s="1"/>
  <c r="J445" i="4"/>
  <c r="K445" i="4" s="1"/>
  <c r="L445" i="4" s="1"/>
  <c r="J269" i="4"/>
  <c r="K269" i="4" s="1"/>
  <c r="J265" i="4"/>
  <c r="K265" i="4" s="1"/>
  <c r="J273" i="4"/>
  <c r="K273" i="4" s="1"/>
  <c r="J266" i="4"/>
  <c r="K266" i="4" s="1"/>
  <c r="J268" i="4"/>
  <c r="K268" i="4" s="1"/>
  <c r="J272" i="4"/>
  <c r="K272" i="4" s="1"/>
  <c r="J270" i="4"/>
  <c r="K270" i="4" s="1"/>
  <c r="J267" i="4"/>
  <c r="K267" i="4" s="1"/>
  <c r="J271" i="4"/>
  <c r="K271" i="4" s="1"/>
  <c r="J302" i="4"/>
  <c r="K302" i="4" s="1"/>
  <c r="L302" i="4" s="1"/>
  <c r="J258" i="4"/>
  <c r="K258" i="4" s="1"/>
  <c r="J257" i="4"/>
  <c r="K257" i="4" s="1"/>
  <c r="J259" i="4"/>
  <c r="K259" i="4" s="1"/>
  <c r="J255" i="4"/>
  <c r="K255" i="4" s="1"/>
  <c r="J225" i="4"/>
  <c r="K225" i="4" s="1"/>
  <c r="J248" i="4"/>
  <c r="K248" i="4" s="1"/>
  <c r="J249" i="4"/>
  <c r="K249" i="4" s="1"/>
  <c r="J246" i="4"/>
  <c r="K246" i="4" s="1"/>
  <c r="J247" i="4"/>
  <c r="K247" i="4" s="1"/>
  <c r="J241" i="4"/>
  <c r="K241" i="4" s="1"/>
  <c r="L241" i="4" s="1"/>
  <c r="J229" i="4"/>
  <c r="K229" i="4" s="1"/>
  <c r="J253" i="4"/>
  <c r="K253" i="4" s="1"/>
  <c r="J240" i="4"/>
  <c r="K240" i="4" s="1"/>
  <c r="J228" i="4"/>
  <c r="K228" i="4" s="1"/>
  <c r="J242" i="4"/>
  <c r="K242" i="4" s="1"/>
  <c r="J245" i="4"/>
  <c r="K245" i="4" s="1"/>
  <c r="J256" i="4"/>
  <c r="K256" i="4" s="1"/>
  <c r="J239" i="4"/>
  <c r="K239" i="4" s="1"/>
  <c r="J223" i="4"/>
  <c r="K223" i="4" s="1"/>
  <c r="J254" i="4"/>
  <c r="K254" i="4" s="1"/>
  <c r="J244" i="4"/>
  <c r="K244" i="4" s="1"/>
  <c r="J222" i="4"/>
  <c r="K222" i="4" s="1"/>
  <c r="J243" i="4"/>
  <c r="K243" i="4" s="1"/>
  <c r="J227" i="4"/>
  <c r="K227" i="4" s="1"/>
  <c r="J261" i="4"/>
  <c r="K261" i="4" s="1"/>
  <c r="J260" i="4"/>
  <c r="K260" i="4" s="1"/>
  <c r="J212" i="4"/>
  <c r="K212" i="4" s="1"/>
  <c r="J210" i="4"/>
  <c r="K210" i="4" s="1"/>
  <c r="J616" i="4"/>
  <c r="K616" i="4" s="1"/>
  <c r="J615" i="4"/>
  <c r="K615" i="4" s="1"/>
  <c r="J214" i="4"/>
  <c r="K214" i="4" s="1"/>
  <c r="J614" i="4"/>
  <c r="K614" i="4" s="1"/>
  <c r="J613" i="4"/>
  <c r="K613" i="4" s="1"/>
  <c r="J213" i="4"/>
  <c r="K213" i="4" s="1"/>
  <c r="J205" i="4"/>
  <c r="K205" i="4" s="1"/>
  <c r="J216" i="4"/>
  <c r="K216" i="4" s="1"/>
  <c r="J215" i="4"/>
  <c r="K215" i="4" s="1"/>
  <c r="J204" i="4"/>
  <c r="K204" i="4" s="1"/>
  <c r="J188" i="4"/>
  <c r="K188" i="4" s="1"/>
  <c r="J189" i="4"/>
  <c r="K189" i="4" s="1"/>
  <c r="J191" i="4"/>
  <c r="K191" i="4" s="1"/>
  <c r="J202" i="4"/>
  <c r="K202" i="4" s="1"/>
  <c r="J187" i="4"/>
  <c r="K187" i="4" s="1"/>
  <c r="J186" i="4"/>
  <c r="K186" i="4" s="1"/>
  <c r="J200" i="4"/>
  <c r="K200" i="4" s="1"/>
  <c r="J203" i="4"/>
  <c r="K203" i="4" s="1"/>
  <c r="J190" i="4"/>
  <c r="K190" i="4" s="1"/>
  <c r="J185" i="4"/>
  <c r="K185" i="4" s="1"/>
  <c r="J206" i="4"/>
  <c r="K206" i="4" s="1"/>
  <c r="H201" i="4"/>
  <c r="I201" i="4" s="1"/>
  <c r="J201" i="4" s="1"/>
  <c r="K201" i="4" s="1"/>
  <c r="L201" i="4" s="1"/>
  <c r="J151" i="4"/>
  <c r="K151" i="4" s="1"/>
  <c r="J148" i="4"/>
  <c r="K148" i="4" s="1"/>
  <c r="J149" i="4"/>
  <c r="K149" i="4" s="1"/>
  <c r="J150" i="4"/>
  <c r="K150" i="4" s="1"/>
  <c r="J147" i="4"/>
  <c r="K147" i="4" s="1"/>
  <c r="J392" i="4"/>
  <c r="K392" i="4" s="1"/>
  <c r="J351" i="4"/>
  <c r="K351" i="4" s="1"/>
  <c r="J371" i="4"/>
  <c r="K371" i="4" s="1"/>
  <c r="J340" i="4"/>
  <c r="K340" i="4" s="1"/>
  <c r="J389" i="4"/>
  <c r="K389" i="4" s="1"/>
  <c r="J354" i="4"/>
  <c r="K354" i="4" s="1"/>
  <c r="J364" i="4"/>
  <c r="K364" i="4" s="1"/>
  <c r="J372" i="4"/>
  <c r="K372" i="4" s="1"/>
  <c r="J366" i="4"/>
  <c r="K366" i="4" s="1"/>
  <c r="J367" i="4"/>
  <c r="K367" i="4" s="1"/>
  <c r="J359" i="4"/>
  <c r="K359" i="4" s="1"/>
  <c r="J368" i="4"/>
  <c r="K368" i="4" s="1"/>
  <c r="J394" i="4"/>
  <c r="K394" i="4" s="1"/>
  <c r="J369" i="4"/>
  <c r="K369" i="4" s="1"/>
  <c r="J358" i="4"/>
  <c r="K358" i="4" s="1"/>
  <c r="J353" i="4"/>
  <c r="K353" i="4" s="1"/>
  <c r="J356" i="4"/>
  <c r="K356" i="4" s="1"/>
  <c r="J391" i="4"/>
  <c r="K391" i="4" s="1"/>
  <c r="J363" i="4"/>
  <c r="K363" i="4" s="1"/>
  <c r="J350" i="4"/>
  <c r="K350" i="4" s="1"/>
  <c r="J355" i="4"/>
  <c r="K355" i="4" s="1"/>
  <c r="J395" i="4"/>
  <c r="K395" i="4" s="1"/>
  <c r="J390" i="4"/>
  <c r="K390" i="4" s="1"/>
  <c r="J388" i="4"/>
  <c r="K388" i="4" s="1"/>
  <c r="J393" i="4"/>
  <c r="K393" i="4" s="1"/>
  <c r="J352" i="4"/>
  <c r="K352" i="4" s="1"/>
  <c r="J357" i="4"/>
  <c r="K357" i="4" s="1"/>
  <c r="L357" i="4" s="1"/>
  <c r="J365" i="4"/>
  <c r="K365" i="4" s="1"/>
  <c r="L365" i="4" s="1"/>
  <c r="J370" i="4"/>
  <c r="K370" i="4" s="1"/>
  <c r="J702" i="4"/>
  <c r="K702" i="4" s="1"/>
  <c r="M702" i="4" s="1"/>
  <c r="J701" i="4"/>
  <c r="K701" i="4" s="1"/>
  <c r="M701" i="4" s="1"/>
  <c r="J698" i="4"/>
  <c r="K698" i="4" s="1"/>
  <c r="J703" i="4"/>
  <c r="K703" i="4" s="1"/>
  <c r="M703" i="4" s="1"/>
  <c r="J700" i="4"/>
  <c r="K700" i="4" s="1"/>
  <c r="J708" i="4"/>
  <c r="K708" i="4" s="1"/>
  <c r="M708" i="4" s="1"/>
  <c r="J704" i="4"/>
  <c r="K704" i="4" s="1"/>
  <c r="M704" i="4" s="1"/>
  <c r="J705" i="4"/>
  <c r="K705" i="4" s="1"/>
  <c r="M705" i="4" s="1"/>
  <c r="J706" i="4"/>
  <c r="K706" i="4" s="1"/>
  <c r="M706" i="4" s="1"/>
  <c r="J387" i="4"/>
  <c r="K387" i="4" s="1"/>
  <c r="J376" i="4"/>
  <c r="K376" i="4" s="1"/>
  <c r="J697" i="4"/>
  <c r="K697" i="4" s="1"/>
  <c r="L697" i="4" s="1"/>
  <c r="J707" i="4"/>
  <c r="K707" i="4" s="1"/>
  <c r="J699" i="4"/>
  <c r="K699" i="4" s="1"/>
  <c r="L699" i="4" s="1"/>
  <c r="J642" i="4"/>
  <c r="K642" i="4" s="1"/>
  <c r="M642" i="4" s="1"/>
  <c r="J640" i="4"/>
  <c r="K640" i="4" s="1"/>
  <c r="M640" i="4" s="1"/>
  <c r="J643" i="4"/>
  <c r="K643" i="4" s="1"/>
  <c r="M643" i="4" s="1"/>
  <c r="J641" i="4"/>
  <c r="K641" i="4" s="1"/>
  <c r="M641" i="4" s="1"/>
  <c r="J644" i="4"/>
  <c r="K644" i="4" s="1"/>
  <c r="M644" i="4" s="1"/>
  <c r="J384" i="4"/>
  <c r="K384" i="4" s="1"/>
  <c r="J385" i="4"/>
  <c r="K385" i="4" s="1"/>
  <c r="J383" i="4"/>
  <c r="K383" i="4" s="1"/>
  <c r="J341" i="4"/>
  <c r="K341" i="4" s="1"/>
  <c r="J342" i="4"/>
  <c r="K342" i="4" s="1"/>
  <c r="J338" i="4"/>
  <c r="K338" i="4" s="1"/>
  <c r="J346" i="4"/>
  <c r="K346" i="4" s="1"/>
  <c r="J315" i="4"/>
  <c r="K315" i="4" s="1"/>
  <c r="J301" i="4"/>
  <c r="K301" i="4" s="1"/>
  <c r="J306" i="4"/>
  <c r="K306" i="4" s="1"/>
  <c r="J308" i="4"/>
  <c r="K308" i="4" s="1"/>
  <c r="L308" i="4" s="1"/>
  <c r="J305" i="4"/>
  <c r="B12" i="2"/>
  <c r="J293" i="4"/>
  <c r="K293" i="4" s="1"/>
  <c r="L293" i="4" s="1"/>
  <c r="J292" i="4"/>
  <c r="K292" i="4" s="1"/>
  <c r="L292" i="4" s="1"/>
  <c r="J290" i="4"/>
  <c r="K290" i="4" s="1"/>
  <c r="L290" i="4" s="1"/>
  <c r="J278" i="4"/>
  <c r="K278" i="4" s="1"/>
  <c r="L278" i="4" s="1"/>
  <c r="J281" i="4"/>
  <c r="K281" i="4" s="1"/>
  <c r="L281" i="4" s="1"/>
  <c r="J285" i="4"/>
  <c r="K285" i="4" s="1"/>
  <c r="L285" i="4" s="1"/>
  <c r="J284" i="4"/>
  <c r="K284" i="4" s="1"/>
  <c r="L284" i="4" s="1"/>
  <c r="J296" i="4"/>
  <c r="K296" i="4" s="1"/>
  <c r="L296" i="4" s="1"/>
  <c r="J295" i="4"/>
  <c r="K295" i="4" s="1"/>
  <c r="L295" i="4" s="1"/>
  <c r="J289" i="4"/>
  <c r="K289" i="4" s="1"/>
  <c r="L289" i="4" s="1"/>
  <c r="J297" i="4"/>
  <c r="K297" i="4" s="1"/>
  <c r="L297" i="4" s="1"/>
  <c r="I294" i="4"/>
  <c r="J294" i="4" s="1"/>
  <c r="K294" i="4" s="1"/>
  <c r="L294" i="4" s="1"/>
  <c r="I291" i="4"/>
  <c r="J291" i="4" s="1"/>
  <c r="K291" i="4" s="1"/>
  <c r="L291" i="4" s="1"/>
  <c r="J180" i="4"/>
  <c r="K180" i="4" s="1"/>
  <c r="J183" i="4"/>
  <c r="K183" i="4" s="1"/>
  <c r="J181" i="4"/>
  <c r="K181" i="4" s="1"/>
  <c r="J193" i="4"/>
  <c r="K193" i="4" s="1"/>
  <c r="J192" i="4"/>
  <c r="K192" i="4" s="1"/>
  <c r="J182" i="4"/>
  <c r="K182" i="4" s="1"/>
  <c r="J184" i="4"/>
  <c r="K184" i="4" s="1"/>
  <c r="J179" i="4"/>
  <c r="K179" i="4" s="1"/>
  <c r="J168" i="4"/>
  <c r="K168" i="4" s="1"/>
  <c r="L168" i="4" s="1"/>
  <c r="Q168" i="4" s="1"/>
  <c r="J172" i="4"/>
  <c r="K172" i="4" s="1"/>
  <c r="L172" i="4" s="1"/>
  <c r="Q172" i="4" s="1"/>
  <c r="J173" i="4"/>
  <c r="K173" i="4" s="1"/>
  <c r="L173" i="4" s="1"/>
  <c r="Q173" i="4" s="1"/>
  <c r="J167" i="4"/>
  <c r="K167" i="4" s="1"/>
  <c r="L167" i="4" s="1"/>
  <c r="Q167" i="4" s="1"/>
  <c r="J170" i="4"/>
  <c r="K170" i="4" s="1"/>
  <c r="L170" i="4" s="1"/>
  <c r="Q170" i="4" s="1"/>
  <c r="J174" i="4"/>
  <c r="K174" i="4" s="1"/>
  <c r="L174" i="4" s="1"/>
  <c r="Q174" i="4" s="1"/>
  <c r="J377" i="4"/>
  <c r="K377" i="4" s="1"/>
  <c r="J71" i="4"/>
  <c r="K71" i="4" s="1"/>
  <c r="J45" i="4"/>
  <c r="K45" i="4" s="1"/>
  <c r="J636" i="4"/>
  <c r="K636" i="4" s="1"/>
  <c r="J169" i="4"/>
  <c r="K169" i="4" s="1"/>
  <c r="L169" i="4" s="1"/>
  <c r="Q169" i="4" s="1"/>
  <c r="J622" i="4"/>
  <c r="K622" i="4" s="1"/>
  <c r="J623" i="4"/>
  <c r="K623" i="4" s="1"/>
  <c r="J70" i="4"/>
  <c r="K70" i="4" s="1"/>
  <c r="J624" i="4"/>
  <c r="K624" i="4" s="1"/>
  <c r="J629" i="4"/>
  <c r="K629" i="4" s="1"/>
  <c r="J628" i="4"/>
  <c r="K628" i="4" s="1"/>
  <c r="J634" i="4"/>
  <c r="K634" i="4" s="1"/>
  <c r="J633" i="4"/>
  <c r="K633" i="4" s="1"/>
  <c r="J625" i="4"/>
  <c r="K625" i="4" s="1"/>
  <c r="J630" i="4"/>
  <c r="K630" i="4" s="1"/>
  <c r="J635" i="4"/>
  <c r="K635" i="4" s="1"/>
  <c r="J626" i="4"/>
  <c r="K626" i="4" s="1"/>
  <c r="J44" i="4"/>
  <c r="J631" i="4"/>
  <c r="K631" i="4" s="1"/>
  <c r="J632" i="4"/>
  <c r="K632" i="4" s="1"/>
  <c r="J627" i="4"/>
  <c r="K627" i="4" s="1"/>
  <c r="J40" i="4"/>
  <c r="K40" i="4" s="1"/>
  <c r="J38" i="4"/>
  <c r="K38" i="4" s="1"/>
  <c r="J36" i="4"/>
  <c r="K36" i="4" s="1"/>
  <c r="J27" i="4"/>
  <c r="K27" i="4" s="1"/>
  <c r="J345" i="4"/>
  <c r="K345" i="4" s="1"/>
  <c r="J51" i="4"/>
  <c r="K51" i="4" s="1"/>
  <c r="J343" i="4"/>
  <c r="K343" i="4" s="1"/>
  <c r="J337" i="4"/>
  <c r="K337" i="4" s="1"/>
  <c r="J339" i="4"/>
  <c r="K339" i="4" s="1"/>
  <c r="J226" i="4"/>
  <c r="K226" i="4" s="1"/>
  <c r="J344" i="4"/>
  <c r="K344" i="4" s="1"/>
  <c r="J54" i="4"/>
  <c r="K54" i="4" s="1"/>
  <c r="J57" i="4"/>
  <c r="K57" i="4" s="1"/>
  <c r="J224" i="4"/>
  <c r="K224" i="4" s="1"/>
  <c r="J60" i="4"/>
  <c r="K60" i="4" s="1"/>
  <c r="J61" i="4"/>
  <c r="K61" i="4" s="1"/>
  <c r="J69" i="4"/>
  <c r="K69" i="4" s="1"/>
  <c r="J65" i="4"/>
  <c r="K65" i="4" s="1"/>
  <c r="J68" i="4"/>
  <c r="K68" i="4" s="1"/>
  <c r="J58" i="4"/>
  <c r="K58" i="4" s="1"/>
  <c r="J55" i="4"/>
  <c r="K55" i="4" s="1"/>
  <c r="J53" i="4"/>
  <c r="K53" i="4" s="1"/>
  <c r="J221" i="4"/>
  <c r="K221" i="4" s="1"/>
  <c r="J66" i="4"/>
  <c r="K66" i="4" s="1"/>
  <c r="J63" i="4"/>
  <c r="K63" i="4" s="1"/>
  <c r="J62" i="4"/>
  <c r="K62" i="4" s="1"/>
  <c r="J52" i="4"/>
  <c r="K52" i="4" s="1"/>
  <c r="J64" i="4"/>
  <c r="K64" i="4" s="1"/>
  <c r="J59" i="4"/>
  <c r="K59" i="4" s="1"/>
  <c r="J56" i="4"/>
  <c r="K56" i="4" s="1"/>
  <c r="J72" i="4"/>
  <c r="K72" i="4" s="1"/>
  <c r="J67" i="4"/>
  <c r="K67" i="4" s="1"/>
  <c r="J126" i="4"/>
  <c r="K126" i="4" s="1"/>
  <c r="L126" i="4" s="1"/>
  <c r="N126" i="4" s="1"/>
  <c r="J12" i="4"/>
  <c r="K12" i="4" s="1"/>
  <c r="J13" i="4"/>
  <c r="K13" i="4" s="1"/>
  <c r="J124" i="4"/>
  <c r="K124" i="4" s="1"/>
  <c r="L124" i="4" s="1"/>
  <c r="N124" i="4" s="1"/>
  <c r="J128" i="4"/>
  <c r="K128" i="4" s="1"/>
  <c r="L128" i="4" s="1"/>
  <c r="N128" i="4" s="1"/>
  <c r="J607" i="4"/>
  <c r="K607" i="4" s="1"/>
  <c r="J605" i="4"/>
  <c r="K605" i="4" s="1"/>
  <c r="J379" i="4"/>
  <c r="K379" i="4" s="1"/>
  <c r="J606" i="4"/>
  <c r="K606" i="4" s="1"/>
  <c r="J378" i="4"/>
  <c r="K378" i="4" s="1"/>
  <c r="J381" i="4"/>
  <c r="K381" i="4" s="1"/>
  <c r="J608" i="4"/>
  <c r="K608" i="4" s="1"/>
  <c r="J380" i="4"/>
  <c r="K380" i="4" s="1"/>
  <c r="J382" i="4"/>
  <c r="K382" i="4" s="1"/>
  <c r="J609" i="4"/>
  <c r="K609" i="4" s="1"/>
  <c r="J386" i="4"/>
  <c r="K386" i="4" s="1"/>
  <c r="J639" i="4"/>
  <c r="K639" i="4" s="1"/>
  <c r="J34" i="4"/>
  <c r="J31" i="4"/>
  <c r="J30" i="4"/>
  <c r="J32" i="4"/>
  <c r="J33" i="4"/>
  <c r="J175" i="4"/>
  <c r="K175" i="4" s="1"/>
  <c r="J166" i="4"/>
  <c r="J171" i="4"/>
  <c r="J664" i="4"/>
  <c r="J165" i="4"/>
  <c r="J665" i="4"/>
  <c r="J141" i="4"/>
  <c r="J143" i="4"/>
  <c r="J661" i="4"/>
  <c r="J142" i="4"/>
  <c r="J139" i="4"/>
  <c r="J140" i="4"/>
  <c r="J663" i="4"/>
  <c r="J39" i="4"/>
  <c r="K39" i="4" s="1"/>
  <c r="J21" i="4"/>
  <c r="J28" i="4"/>
  <c r="K28" i="4" s="1"/>
  <c r="J43" i="4"/>
  <c r="K43" i="4" s="1"/>
  <c r="J26" i="4"/>
  <c r="K26" i="4" s="1"/>
  <c r="J22" i="4"/>
  <c r="K22" i="4" s="1"/>
  <c r="J37" i="4"/>
  <c r="K37" i="4" s="1"/>
  <c r="J20" i="4"/>
  <c r="J25" i="4"/>
  <c r="K25" i="4" s="1"/>
  <c r="J14" i="4"/>
  <c r="J23" i="4"/>
  <c r="J35" i="4"/>
  <c r="K35" i="4" s="1"/>
  <c r="J19" i="4"/>
  <c r="J46" i="4"/>
  <c r="K46" i="4" s="1"/>
  <c r="J17" i="4"/>
  <c r="J16" i="4"/>
  <c r="J42" i="4"/>
  <c r="J41" i="4"/>
  <c r="K41" i="4" s="1"/>
  <c r="J29" i="4"/>
  <c r="J18" i="4"/>
  <c r="J24" i="4"/>
  <c r="K24" i="4" s="1"/>
  <c r="J15" i="4"/>
  <c r="K15" i="4" s="1"/>
  <c r="J11" i="4"/>
  <c r="K11" i="4" s="1"/>
  <c r="J10" i="4"/>
  <c r="K10" i="4" s="1"/>
  <c r="J280" i="4"/>
  <c r="J283" i="4"/>
  <c r="K283" i="4" s="1"/>
  <c r="L283" i="4" s="1"/>
  <c r="J277" i="4"/>
  <c r="K277" i="4" s="1"/>
  <c r="L277" i="4" s="1"/>
  <c r="J9" i="4"/>
  <c r="K9" i="4" s="1"/>
  <c r="J127" i="4"/>
  <c r="J125" i="4"/>
  <c r="J131" i="4"/>
  <c r="J129" i="4"/>
  <c r="J132" i="4"/>
  <c r="J130" i="4"/>
  <c r="I279" i="4"/>
  <c r="J279" i="4" s="1"/>
  <c r="K279" i="4" s="1"/>
  <c r="L279" i="4" s="1"/>
  <c r="I282" i="4"/>
  <c r="J282" i="4" s="1"/>
  <c r="K282" i="4" s="1"/>
  <c r="L282" i="4" s="1"/>
  <c r="M476" i="7" l="1"/>
  <c r="M536" i="7"/>
  <c r="L712" i="7"/>
  <c r="M712" i="7"/>
  <c r="M347" i="7"/>
  <c r="M400" i="7"/>
  <c r="M406" i="7" s="1"/>
  <c r="L400" i="7"/>
  <c r="L406" i="7" s="1"/>
  <c r="B37" i="8" s="1"/>
  <c r="L347" i="7"/>
  <c r="B34" i="8" s="1"/>
  <c r="H211" i="7"/>
  <c r="I211" i="7" s="1"/>
  <c r="J211" i="7" s="1"/>
  <c r="K211" i="7" s="1"/>
  <c r="I201" i="7"/>
  <c r="J201" i="7" s="1"/>
  <c r="K201" i="7" s="1"/>
  <c r="M658" i="7"/>
  <c r="L536" i="7"/>
  <c r="B45" i="8" s="1"/>
  <c r="M527" i="7"/>
  <c r="L262" i="7"/>
  <c r="B28" i="8" s="1"/>
  <c r="B125" i="8" s="1"/>
  <c r="L527" i="7"/>
  <c r="B43" i="8" s="1"/>
  <c r="M262" i="7"/>
  <c r="L410" i="7"/>
  <c r="L416" i="7" s="1"/>
  <c r="B38" i="8" s="1"/>
  <c r="M410" i="7"/>
  <c r="M416" i="7" s="1"/>
  <c r="L658" i="7"/>
  <c r="L182" i="7"/>
  <c r="Q182" i="7"/>
  <c r="Q197" i="7" s="1"/>
  <c r="Q20" i="8" s="1"/>
  <c r="E59" i="6"/>
  <c r="E59" i="8"/>
  <c r="E11" i="6"/>
  <c r="B58" i="6"/>
  <c r="B145" i="6" s="1"/>
  <c r="B145" i="8"/>
  <c r="E49" i="6"/>
  <c r="E49" i="8"/>
  <c r="B59" i="6"/>
  <c r="B146" i="6" s="1"/>
  <c r="B146" i="8"/>
  <c r="B49" i="6"/>
  <c r="B127" i="6" s="1"/>
  <c r="E58" i="6"/>
  <c r="E58" i="8"/>
  <c r="B52" i="6"/>
  <c r="B113" i="6" s="1"/>
  <c r="B111" i="8"/>
  <c r="L107" i="4"/>
  <c r="L536" i="4"/>
  <c r="L441" i="4"/>
  <c r="L446" i="4" s="1"/>
  <c r="M639" i="4"/>
  <c r="L639" i="4"/>
  <c r="M658" i="4"/>
  <c r="L658" i="4"/>
  <c r="L707" i="4"/>
  <c r="M707" i="4"/>
  <c r="M536" i="4"/>
  <c r="M427" i="4"/>
  <c r="L521" i="4"/>
  <c r="M521" i="4"/>
  <c r="M527" i="4" s="1"/>
  <c r="L512" i="4"/>
  <c r="L513" i="4"/>
  <c r="L236" i="4"/>
  <c r="L503" i="4"/>
  <c r="M503" i="4"/>
  <c r="L508" i="4"/>
  <c r="M508" i="4"/>
  <c r="L504" i="4"/>
  <c r="M504" i="4"/>
  <c r="L159" i="4"/>
  <c r="M159" i="4"/>
  <c r="L475" i="4"/>
  <c r="M475" i="4"/>
  <c r="M473" i="4"/>
  <c r="L472" i="4"/>
  <c r="M472" i="4"/>
  <c r="M501" i="4"/>
  <c r="L501" i="4"/>
  <c r="M155" i="4"/>
  <c r="L155" i="4"/>
  <c r="M160" i="4"/>
  <c r="L160" i="4"/>
  <c r="M158" i="4"/>
  <c r="L158" i="4"/>
  <c r="M156" i="4"/>
  <c r="L156" i="4"/>
  <c r="L471" i="4"/>
  <c r="M471" i="4"/>
  <c r="M157" i="4"/>
  <c r="L157" i="4"/>
  <c r="L507" i="4"/>
  <c r="M507" i="4"/>
  <c r="M474" i="4"/>
  <c r="L474" i="4"/>
  <c r="L505" i="4"/>
  <c r="M505" i="4"/>
  <c r="M466" i="4"/>
  <c r="M420" i="4"/>
  <c r="M468" i="4"/>
  <c r="L494" i="4"/>
  <c r="M494" i="4"/>
  <c r="M460" i="4"/>
  <c r="M415" i="4"/>
  <c r="L415" i="4"/>
  <c r="M422" i="4"/>
  <c r="L422" i="4"/>
  <c r="M459" i="4"/>
  <c r="M435" i="4"/>
  <c r="M409" i="4"/>
  <c r="L409" i="4"/>
  <c r="M421" i="4"/>
  <c r="L421" i="4"/>
  <c r="L500" i="4"/>
  <c r="M500" i="4"/>
  <c r="M411" i="4"/>
  <c r="L411" i="4"/>
  <c r="M419" i="4"/>
  <c r="L419" i="4"/>
  <c r="M506" i="4"/>
  <c r="L506" i="4"/>
  <c r="L413" i="4"/>
  <c r="M413" i="4"/>
  <c r="M457" i="4"/>
  <c r="M480" i="4"/>
  <c r="L404" i="4"/>
  <c r="M404" i="4"/>
  <c r="L458" i="4"/>
  <c r="M458" i="4"/>
  <c r="M434" i="4"/>
  <c r="L434" i="4"/>
  <c r="L481" i="4"/>
  <c r="M481" i="4"/>
  <c r="M403" i="4"/>
  <c r="L403" i="4"/>
  <c r="L466" i="4"/>
  <c r="L426" i="4"/>
  <c r="M426" i="4"/>
  <c r="M402" i="4"/>
  <c r="L402" i="4"/>
  <c r="M470" i="4"/>
  <c r="L470" i="4"/>
  <c r="M496" i="4"/>
  <c r="L496" i="4"/>
  <c r="L525" i="4"/>
  <c r="L468" i="4"/>
  <c r="M495" i="4"/>
  <c r="M401" i="4"/>
  <c r="L401" i="4"/>
  <c r="L469" i="4"/>
  <c r="M469" i="4"/>
  <c r="M482" i="4"/>
  <c r="L482" i="4"/>
  <c r="L524" i="4"/>
  <c r="M405" i="4"/>
  <c r="L405" i="4"/>
  <c r="L467" i="4"/>
  <c r="M467" i="4"/>
  <c r="L493" i="4"/>
  <c r="M493" i="4"/>
  <c r="L420" i="4"/>
  <c r="M399" i="4"/>
  <c r="L399" i="4"/>
  <c r="M433" i="4"/>
  <c r="L433" i="4"/>
  <c r="L414" i="4"/>
  <c r="M414" i="4"/>
  <c r="M428" i="4"/>
  <c r="L428" i="4"/>
  <c r="L479" i="4"/>
  <c r="M479" i="4"/>
  <c r="L432" i="4"/>
  <c r="M432" i="4"/>
  <c r="M462" i="4"/>
  <c r="L412" i="4"/>
  <c r="M412" i="4"/>
  <c r="L436" i="4"/>
  <c r="M436" i="4"/>
  <c r="M502" i="4"/>
  <c r="L502" i="4"/>
  <c r="L225" i="4"/>
  <c r="L462" i="4"/>
  <c r="L460" i="4"/>
  <c r="L459" i="4"/>
  <c r="L457" i="4"/>
  <c r="L400" i="4"/>
  <c r="M400" i="4"/>
  <c r="L410" i="4"/>
  <c r="M410" i="4"/>
  <c r="P302" i="4"/>
  <c r="P313" i="4"/>
  <c r="L313" i="4"/>
  <c r="M265" i="4"/>
  <c r="L265" i="4"/>
  <c r="L330" i="4"/>
  <c r="P330" i="4"/>
  <c r="P332" i="4"/>
  <c r="L332" i="4"/>
  <c r="L310" i="4"/>
  <c r="P310" i="4"/>
  <c r="P321" i="4"/>
  <c r="L321" i="4"/>
  <c r="P328" i="4"/>
  <c r="L328" i="4"/>
  <c r="L326" i="4"/>
  <c r="P326" i="4"/>
  <c r="P307" i="4"/>
  <c r="L307" i="4"/>
  <c r="P324" i="4"/>
  <c r="L324" i="4"/>
  <c r="P303" i="4"/>
  <c r="L303" i="4"/>
  <c r="M271" i="4"/>
  <c r="L271" i="4"/>
  <c r="P320" i="4"/>
  <c r="L320" i="4"/>
  <c r="L325" i="4"/>
  <c r="P325" i="4"/>
  <c r="P327" i="4"/>
  <c r="L327" i="4"/>
  <c r="M269" i="4"/>
  <c r="L269" i="4"/>
  <c r="M267" i="4"/>
  <c r="L267" i="4"/>
  <c r="P329" i="4"/>
  <c r="L329" i="4"/>
  <c r="P304" i="4"/>
  <c r="L304" i="4"/>
  <c r="L331" i="4"/>
  <c r="P331" i="4"/>
  <c r="M270" i="4"/>
  <c r="L270" i="4"/>
  <c r="L314" i="4"/>
  <c r="P314" i="4"/>
  <c r="P311" i="4"/>
  <c r="L311" i="4"/>
  <c r="L323" i="4"/>
  <c r="P323" i="4"/>
  <c r="L273" i="4"/>
  <c r="M273" i="4"/>
  <c r="L272" i="4"/>
  <c r="M272" i="4"/>
  <c r="L319" i="4"/>
  <c r="P319" i="4"/>
  <c r="L309" i="4"/>
  <c r="P309" i="4"/>
  <c r="M268" i="4"/>
  <c r="L268" i="4"/>
  <c r="L322" i="4"/>
  <c r="P322" i="4"/>
  <c r="L312" i="4"/>
  <c r="P312" i="4"/>
  <c r="P333" i="4"/>
  <c r="L333" i="4"/>
  <c r="M266" i="4"/>
  <c r="L266" i="4"/>
  <c r="K305" i="4"/>
  <c r="L305" i="4" s="1"/>
  <c r="M255" i="4"/>
  <c r="L255" i="4"/>
  <c r="L259" i="4"/>
  <c r="M259" i="4"/>
  <c r="L257" i="4"/>
  <c r="M257" i="4"/>
  <c r="M258" i="4"/>
  <c r="L258" i="4"/>
  <c r="M241" i="4"/>
  <c r="M247" i="4"/>
  <c r="L247" i="4"/>
  <c r="L246" i="4"/>
  <c r="M246" i="4"/>
  <c r="M249" i="4"/>
  <c r="L249" i="4"/>
  <c r="M248" i="4"/>
  <c r="L248" i="4"/>
  <c r="L261" i="4"/>
  <c r="M261" i="4"/>
  <c r="L239" i="4"/>
  <c r="M239" i="4"/>
  <c r="L260" i="4"/>
  <c r="M260" i="4"/>
  <c r="L256" i="4"/>
  <c r="M256" i="4"/>
  <c r="L240" i="4"/>
  <c r="M240" i="4"/>
  <c r="L253" i="4"/>
  <c r="M253" i="4"/>
  <c r="L254" i="4"/>
  <c r="M254" i="4"/>
  <c r="L245" i="4"/>
  <c r="M245" i="4"/>
  <c r="L244" i="4"/>
  <c r="M244" i="4"/>
  <c r="L243" i="4"/>
  <c r="M243" i="4"/>
  <c r="L242" i="4"/>
  <c r="M242" i="4"/>
  <c r="L227" i="4"/>
  <c r="L228" i="4"/>
  <c r="L222" i="4"/>
  <c r="L229" i="4"/>
  <c r="L223" i="4"/>
  <c r="M365" i="4"/>
  <c r="L216" i="4"/>
  <c r="Q216" i="4"/>
  <c r="L190" i="4"/>
  <c r="Q190" i="4"/>
  <c r="Q205" i="4"/>
  <c r="L205" i="4"/>
  <c r="Q206" i="4"/>
  <c r="L206" i="4"/>
  <c r="Q203" i="4"/>
  <c r="L203" i="4"/>
  <c r="L213" i="4"/>
  <c r="Q213" i="4"/>
  <c r="L204" i="4"/>
  <c r="Q204" i="4"/>
  <c r="L200" i="4"/>
  <c r="Q200" i="4"/>
  <c r="L613" i="4"/>
  <c r="M613" i="4"/>
  <c r="L186" i="4"/>
  <c r="Q186" i="4"/>
  <c r="L614" i="4"/>
  <c r="M614" i="4"/>
  <c r="L185" i="4"/>
  <c r="Q185" i="4"/>
  <c r="Q187" i="4"/>
  <c r="L187" i="4"/>
  <c r="L214" i="4"/>
  <c r="Q214" i="4"/>
  <c r="L215" i="4"/>
  <c r="Q215" i="4"/>
  <c r="Q202" i="4"/>
  <c r="L202" i="4"/>
  <c r="M615" i="4"/>
  <c r="L615" i="4"/>
  <c r="O377" i="4"/>
  <c r="Q191" i="4"/>
  <c r="L191" i="4"/>
  <c r="L616" i="4"/>
  <c r="M616" i="4"/>
  <c r="Q189" i="4"/>
  <c r="L189" i="4"/>
  <c r="Q210" i="4"/>
  <c r="L210" i="4"/>
  <c r="H211" i="4"/>
  <c r="I211" i="4" s="1"/>
  <c r="J211" i="4" s="1"/>
  <c r="K211" i="4" s="1"/>
  <c r="L211" i="4" s="1"/>
  <c r="L188" i="4"/>
  <c r="Q188" i="4"/>
  <c r="Q212" i="4"/>
  <c r="L212" i="4"/>
  <c r="Q201" i="4"/>
  <c r="L184" i="4"/>
  <c r="Q184" i="4"/>
  <c r="L179" i="4"/>
  <c r="Q179" i="4"/>
  <c r="L182" i="4"/>
  <c r="Q182" i="4"/>
  <c r="L192" i="4"/>
  <c r="Q192" i="4"/>
  <c r="L193" i="4"/>
  <c r="Q193" i="4"/>
  <c r="L181" i="4"/>
  <c r="Q181" i="4"/>
  <c r="L183" i="4"/>
  <c r="Q183" i="4"/>
  <c r="L180" i="4"/>
  <c r="Q180" i="4"/>
  <c r="M352" i="4"/>
  <c r="L608" i="4"/>
  <c r="M608" i="4"/>
  <c r="L606" i="4"/>
  <c r="M606" i="4"/>
  <c r="L147" i="4"/>
  <c r="Q147" i="4"/>
  <c r="L605" i="4"/>
  <c r="M605" i="4"/>
  <c r="L607" i="4"/>
  <c r="M607" i="4"/>
  <c r="L150" i="4"/>
  <c r="Q150" i="4"/>
  <c r="L149" i="4"/>
  <c r="Q149" i="4"/>
  <c r="L148" i="4"/>
  <c r="Q148" i="4"/>
  <c r="L609" i="4"/>
  <c r="M609" i="4"/>
  <c r="L151" i="4"/>
  <c r="Q151" i="4"/>
  <c r="M370" i="4"/>
  <c r="M367" i="4"/>
  <c r="L367" i="4"/>
  <c r="L366" i="4"/>
  <c r="M366" i="4"/>
  <c r="L363" i="4"/>
  <c r="M363" i="4"/>
  <c r="L372" i="4"/>
  <c r="M372" i="4"/>
  <c r="L350" i="4"/>
  <c r="M350" i="4"/>
  <c r="O391" i="4"/>
  <c r="L391" i="4"/>
  <c r="L364" i="4"/>
  <c r="M364" i="4"/>
  <c r="L356" i="4"/>
  <c r="M356" i="4"/>
  <c r="M354" i="4"/>
  <c r="L354" i="4"/>
  <c r="L353" i="4"/>
  <c r="M353" i="4"/>
  <c r="O389" i="4"/>
  <c r="L389" i="4"/>
  <c r="M357" i="4"/>
  <c r="M358" i="4"/>
  <c r="L358" i="4"/>
  <c r="M340" i="4"/>
  <c r="L340" i="4"/>
  <c r="L352" i="4"/>
  <c r="L393" i="4"/>
  <c r="O393" i="4"/>
  <c r="M369" i="4"/>
  <c r="L369" i="4"/>
  <c r="L371" i="4"/>
  <c r="M371" i="4"/>
  <c r="O388" i="4"/>
  <c r="L388" i="4"/>
  <c r="O394" i="4"/>
  <c r="L394" i="4"/>
  <c r="M351" i="4"/>
  <c r="L351" i="4"/>
  <c r="L370" i="4"/>
  <c r="O390" i="4"/>
  <c r="L390" i="4"/>
  <c r="L368" i="4"/>
  <c r="M368" i="4"/>
  <c r="O392" i="4"/>
  <c r="L392" i="4"/>
  <c r="M355" i="4"/>
  <c r="L355" i="4"/>
  <c r="L395" i="4"/>
  <c r="O395" i="4"/>
  <c r="L359" i="4"/>
  <c r="M359" i="4"/>
  <c r="L376" i="4"/>
  <c r="O376" i="4"/>
  <c r="M699" i="4"/>
  <c r="L387" i="4"/>
  <c r="O387" i="4"/>
  <c r="L706" i="4"/>
  <c r="L705" i="4"/>
  <c r="L704" i="4"/>
  <c r="L708" i="4"/>
  <c r="M697" i="4"/>
  <c r="M700" i="4"/>
  <c r="L700" i="4"/>
  <c r="L703" i="4"/>
  <c r="M698" i="4"/>
  <c r="L698" i="4"/>
  <c r="L701" i="4"/>
  <c r="L702" i="4"/>
  <c r="O386" i="4"/>
  <c r="O381" i="4"/>
  <c r="O383" i="4"/>
  <c r="O382" i="4"/>
  <c r="O378" i="4"/>
  <c r="O385" i="4"/>
  <c r="O380" i="4"/>
  <c r="M339" i="4"/>
  <c r="O379" i="4"/>
  <c r="M337" i="4"/>
  <c r="O384" i="4"/>
  <c r="M343" i="4"/>
  <c r="L384" i="4"/>
  <c r="L379" i="4"/>
  <c r="L641" i="4"/>
  <c r="L643" i="4"/>
  <c r="L386" i="4"/>
  <c r="L377" i="4"/>
  <c r="L382" i="4"/>
  <c r="L385" i="4"/>
  <c r="L380" i="4"/>
  <c r="L640" i="4"/>
  <c r="L644" i="4"/>
  <c r="L381" i="4"/>
  <c r="L642" i="4"/>
  <c r="L378" i="4"/>
  <c r="L383" i="4"/>
  <c r="L59" i="4"/>
  <c r="L60" i="4"/>
  <c r="L57" i="4"/>
  <c r="L58" i="4"/>
  <c r="L35" i="4"/>
  <c r="L68" i="4"/>
  <c r="L10" i="4"/>
  <c r="L28" i="4"/>
  <c r="L67" i="4"/>
  <c r="L62" i="4"/>
  <c r="L65" i="4"/>
  <c r="L38" i="4"/>
  <c r="L630" i="4"/>
  <c r="M630" i="4"/>
  <c r="L623" i="4"/>
  <c r="M623" i="4"/>
  <c r="L41" i="4"/>
  <c r="L72" i="4"/>
  <c r="M72" i="4"/>
  <c r="L63" i="4"/>
  <c r="L69" i="4"/>
  <c r="L40" i="4"/>
  <c r="L625" i="4"/>
  <c r="M625" i="4"/>
  <c r="L622" i="4"/>
  <c r="M622" i="4"/>
  <c r="L36" i="4"/>
  <c r="L25" i="4"/>
  <c r="L39" i="4"/>
  <c r="L56" i="4"/>
  <c r="L66" i="4"/>
  <c r="L61" i="4"/>
  <c r="L627" i="4"/>
  <c r="M627" i="4"/>
  <c r="L633" i="4"/>
  <c r="M633" i="4"/>
  <c r="L43" i="4"/>
  <c r="L635" i="4"/>
  <c r="M635" i="4"/>
  <c r="L632" i="4"/>
  <c r="M632" i="4"/>
  <c r="L634" i="4"/>
  <c r="M634" i="4"/>
  <c r="L636" i="4"/>
  <c r="M636" i="4"/>
  <c r="L70" i="4"/>
  <c r="M70" i="4"/>
  <c r="L11" i="4"/>
  <c r="L37" i="4"/>
  <c r="L64" i="4"/>
  <c r="L53" i="4"/>
  <c r="M53" i="4"/>
  <c r="L51" i="4"/>
  <c r="L631" i="4"/>
  <c r="M631" i="4"/>
  <c r="L628" i="4"/>
  <c r="M628" i="4"/>
  <c r="L45" i="4"/>
  <c r="M45" i="4"/>
  <c r="L15" i="4"/>
  <c r="M15" i="4"/>
  <c r="L46" i="4"/>
  <c r="M46" i="4"/>
  <c r="L22" i="4"/>
  <c r="L13" i="4"/>
  <c r="M13" i="4"/>
  <c r="L52" i="4"/>
  <c r="L55" i="4"/>
  <c r="M55" i="4"/>
  <c r="L629" i="4"/>
  <c r="M629" i="4"/>
  <c r="L71" i="4"/>
  <c r="M71" i="4"/>
  <c r="L24" i="4"/>
  <c r="L26" i="4"/>
  <c r="L12" i="4"/>
  <c r="M12" i="4"/>
  <c r="L54" i="4"/>
  <c r="M54" i="4"/>
  <c r="L27" i="4"/>
  <c r="L626" i="4"/>
  <c r="M626" i="4"/>
  <c r="L624" i="4"/>
  <c r="M624" i="4"/>
  <c r="M345" i="4"/>
  <c r="M344" i="4"/>
  <c r="L315" i="4"/>
  <c r="P315" i="4"/>
  <c r="M346" i="4"/>
  <c r="L346" i="4"/>
  <c r="L341" i="4"/>
  <c r="M341" i="4"/>
  <c r="P308" i="4"/>
  <c r="L338" i="4"/>
  <c r="M338" i="4"/>
  <c r="L342" i="4"/>
  <c r="M342" i="4"/>
  <c r="L306" i="4"/>
  <c r="P306" i="4"/>
  <c r="P301" i="4"/>
  <c r="L301" i="4"/>
  <c r="L345" i="4"/>
  <c r="L344" i="4"/>
  <c r="L339" i="4"/>
  <c r="L337" i="4"/>
  <c r="L343" i="4"/>
  <c r="L221" i="4"/>
  <c r="L224" i="4"/>
  <c r="L226" i="4"/>
  <c r="L298" i="4"/>
  <c r="K280" i="4"/>
  <c r="L280" i="4" s="1"/>
  <c r="K44" i="4"/>
  <c r="L9" i="4"/>
  <c r="K165" i="4"/>
  <c r="L165" i="4" s="1"/>
  <c r="L197" i="7" l="1"/>
  <c r="B20" i="8" s="1"/>
  <c r="Q201" i="7"/>
  <c r="Q207" i="7" s="1"/>
  <c r="Q21" i="8" s="1"/>
  <c r="L201" i="7"/>
  <c r="L207" i="7" s="1"/>
  <c r="B21" i="8" s="1"/>
  <c r="L211" i="7"/>
  <c r="L217" i="7" s="1"/>
  <c r="B22" i="8" s="1"/>
  <c r="Q211" i="7"/>
  <c r="Q217" i="7" s="1"/>
  <c r="Q22" i="8" s="1"/>
  <c r="B50" i="6"/>
  <c r="B101" i="6" s="1"/>
  <c r="B99" i="8"/>
  <c r="B53" i="6"/>
  <c r="D53" i="6" s="1"/>
  <c r="B31" i="6"/>
  <c r="B123" i="6" s="1"/>
  <c r="B121" i="8"/>
  <c r="B45" i="6"/>
  <c r="B141" i="6" s="1"/>
  <c r="B141" i="8"/>
  <c r="E43" i="6"/>
  <c r="E43" i="8"/>
  <c r="B11" i="6"/>
  <c r="B77" i="6" s="1"/>
  <c r="B77" i="8"/>
  <c r="E45" i="6"/>
  <c r="E45" i="8"/>
  <c r="L230" i="4"/>
  <c r="L518" i="4"/>
  <c r="L527" i="4"/>
  <c r="L645" i="4"/>
  <c r="L712" i="4"/>
  <c r="M712" i="4"/>
  <c r="L463" i="4"/>
  <c r="L396" i="4"/>
  <c r="M645" i="4"/>
  <c r="L161" i="4"/>
  <c r="M161" i="4"/>
  <c r="L429" i="4"/>
  <c r="L476" i="4"/>
  <c r="M476" i="4"/>
  <c r="L509" i="4"/>
  <c r="M509" i="4"/>
  <c r="L497" i="4"/>
  <c r="M497" i="4"/>
  <c r="L483" i="4"/>
  <c r="M483" i="4"/>
  <c r="M423" i="4"/>
  <c r="L437" i="4"/>
  <c r="B140" i="8" s="1"/>
  <c r="M429" i="4"/>
  <c r="L423" i="4"/>
  <c r="M463" i="4"/>
  <c r="M416" i="4"/>
  <c r="L416" i="4"/>
  <c r="M406" i="4"/>
  <c r="L406" i="4"/>
  <c r="M437" i="4"/>
  <c r="P305" i="4"/>
  <c r="P316" i="4" s="1"/>
  <c r="L334" i="4"/>
  <c r="L274" i="4"/>
  <c r="M274" i="4"/>
  <c r="P334" i="4"/>
  <c r="L316" i="4"/>
  <c r="L262" i="4"/>
  <c r="M262" i="4"/>
  <c r="M250" i="4"/>
  <c r="L250" i="4"/>
  <c r="L207" i="4"/>
  <c r="L217" i="4"/>
  <c r="M617" i="4"/>
  <c r="L617" i="4"/>
  <c r="Q211" i="4"/>
  <c r="Q217" i="4" s="1"/>
  <c r="Q207" i="4"/>
  <c r="Q197" i="4"/>
  <c r="Q165" i="4"/>
  <c r="L610" i="4"/>
  <c r="L152" i="4"/>
  <c r="M610" i="4"/>
  <c r="Q152" i="4"/>
  <c r="M360" i="4"/>
  <c r="L360" i="4"/>
  <c r="M373" i="4"/>
  <c r="L373" i="4"/>
  <c r="L347" i="4"/>
  <c r="O396" i="4"/>
  <c r="M73" i="4"/>
  <c r="M637" i="4"/>
  <c r="L637" i="4"/>
  <c r="L73" i="4"/>
  <c r="B74" i="8" s="1"/>
  <c r="L44" i="4"/>
  <c r="M44" i="4"/>
  <c r="M347" i="4"/>
  <c r="L286" i="4"/>
  <c r="B91" i="8" l="1"/>
  <c r="B92" i="8"/>
  <c r="K32" i="6"/>
  <c r="K32" i="8"/>
  <c r="E35" i="6"/>
  <c r="E35" i="8"/>
  <c r="E36" i="6"/>
  <c r="E36" i="8"/>
  <c r="B35" i="6"/>
  <c r="B120" i="6" s="1"/>
  <c r="B118" i="8"/>
  <c r="E34" i="6"/>
  <c r="E34" i="8"/>
  <c r="B36" i="6"/>
  <c r="B121" i="6" s="1"/>
  <c r="B119" i="8"/>
  <c r="B33" i="6"/>
  <c r="B133" i="6" s="1"/>
  <c r="B133" i="8"/>
  <c r="B32" i="6"/>
  <c r="D32" i="6" s="1"/>
  <c r="B26" i="6"/>
  <c r="B96" i="6" s="1"/>
  <c r="K33" i="6"/>
  <c r="M33" i="6" s="1"/>
  <c r="K33" i="8"/>
  <c r="M33" i="8" s="1"/>
  <c r="B34" i="6"/>
  <c r="B119" i="6" s="1"/>
  <c r="B117" i="8"/>
  <c r="B129" i="8" s="1"/>
  <c r="B105" i="6"/>
  <c r="E23" i="6"/>
  <c r="E46" i="6"/>
  <c r="E46" i="8"/>
  <c r="B46" i="6"/>
  <c r="B128" i="6" s="1"/>
  <c r="B128" i="8"/>
  <c r="B51" i="6"/>
  <c r="B112" i="6" s="1"/>
  <c r="E41" i="6"/>
  <c r="E41" i="8"/>
  <c r="B20" i="6"/>
  <c r="B90" i="6" s="1"/>
  <c r="B90" i="8"/>
  <c r="E47" i="6"/>
  <c r="E47" i="8"/>
  <c r="B38" i="6"/>
  <c r="B138" i="6" s="1"/>
  <c r="B138" i="8"/>
  <c r="B62" i="6"/>
  <c r="B124" i="6" s="1"/>
  <c r="B122" i="8"/>
  <c r="B48" i="6"/>
  <c r="B143" i="6" s="1"/>
  <c r="B143" i="8"/>
  <c r="B27" i="6"/>
  <c r="B97" i="6" s="1"/>
  <c r="B97" i="8"/>
  <c r="E27" i="6"/>
  <c r="E27" i="8"/>
  <c r="E48" i="6"/>
  <c r="E48" i="8"/>
  <c r="E28" i="6"/>
  <c r="E28" i="8"/>
  <c r="B28" i="6"/>
  <c r="B98" i="6" s="1"/>
  <c r="E55" i="6"/>
  <c r="E55" i="8"/>
  <c r="E64" i="6"/>
  <c r="E64" i="8"/>
  <c r="B43" i="6"/>
  <c r="B99" i="6" s="1"/>
  <c r="Q20" i="6"/>
  <c r="B39" i="6"/>
  <c r="B111" i="6" s="1"/>
  <c r="B109" i="8"/>
  <c r="B64" i="6"/>
  <c r="B149" i="6" s="1"/>
  <c r="B149" i="8"/>
  <c r="B44" i="6"/>
  <c r="B107" i="6" s="1"/>
  <c r="B105" i="8"/>
  <c r="D53" i="8"/>
  <c r="B103" i="8"/>
  <c r="B37" i="6"/>
  <c r="B137" i="6" s="1"/>
  <c r="B137" i="8"/>
  <c r="N51" i="6"/>
  <c r="N66" i="6" s="1"/>
  <c r="P66" i="6" s="1"/>
  <c r="N51" i="8"/>
  <c r="E40" i="6"/>
  <c r="E40" i="8"/>
  <c r="B96" i="8"/>
  <c r="B23" i="6"/>
  <c r="B125" i="6" s="1"/>
  <c r="B123" i="8"/>
  <c r="B30" i="6"/>
  <c r="B122" i="6" s="1"/>
  <c r="B120" i="8"/>
  <c r="Q16" i="6"/>
  <c r="B55" i="6"/>
  <c r="B126" i="6" s="1"/>
  <c r="B124" i="8"/>
  <c r="E62" i="6"/>
  <c r="E62" i="8"/>
  <c r="E37" i="6"/>
  <c r="E37" i="8"/>
  <c r="B47" i="6"/>
  <c r="B142" i="6" s="1"/>
  <c r="B142" i="8"/>
  <c r="B16" i="6"/>
  <c r="B87" i="6" s="1"/>
  <c r="B87" i="8"/>
  <c r="E38" i="6"/>
  <c r="E38" i="8"/>
  <c r="B40" i="6"/>
  <c r="B139" i="6" s="1"/>
  <c r="B139" i="8"/>
  <c r="Q21" i="6"/>
  <c r="E29" i="6"/>
  <c r="E29" i="8"/>
  <c r="Q22" i="6"/>
  <c r="B29" i="6"/>
  <c r="B100" i="6" s="1"/>
  <c r="E39" i="6"/>
  <c r="E39" i="8"/>
  <c r="B17" i="6"/>
  <c r="B88" i="6" s="1"/>
  <c r="B88" i="8"/>
  <c r="B21" i="6"/>
  <c r="B91" i="6" s="1"/>
  <c r="B22" i="6"/>
  <c r="B92" i="6" s="1"/>
  <c r="E9" i="6"/>
  <c r="E8" i="6"/>
  <c r="B8" i="6"/>
  <c r="B74" i="6" s="1"/>
  <c r="B41" i="6"/>
  <c r="B140" i="6" s="1"/>
  <c r="B129" i="6" l="1"/>
  <c r="G46" i="8"/>
  <c r="B132" i="6"/>
  <c r="M32" i="6"/>
  <c r="G27" i="6"/>
  <c r="P51" i="6"/>
  <c r="D32" i="8"/>
  <c r="B132" i="8"/>
  <c r="G46" i="6"/>
  <c r="M32" i="8"/>
  <c r="K66" i="8"/>
  <c r="M66" i="8" s="1"/>
  <c r="B108" i="6"/>
  <c r="D108" i="6" s="1"/>
  <c r="K66" i="6"/>
  <c r="M66" i="6" s="1"/>
  <c r="B106" i="8"/>
  <c r="D106" i="8" s="1"/>
  <c r="G27" i="8"/>
  <c r="B115" i="6"/>
  <c r="D115" i="6" s="1"/>
  <c r="D129" i="8"/>
  <c r="B102" i="6"/>
  <c r="D102" i="6" s="1"/>
  <c r="B150" i="6"/>
  <c r="D150" i="6" s="1"/>
  <c r="D26" i="8"/>
  <c r="B110" i="8"/>
  <c r="B113" i="8" s="1"/>
  <c r="D113" i="8" s="1"/>
  <c r="D51" i="8"/>
  <c r="D26" i="6"/>
  <c r="D44" i="6"/>
  <c r="D51" i="6"/>
  <c r="P51" i="8"/>
  <c r="N66" i="8"/>
  <c r="P66" i="8" s="1"/>
  <c r="D44" i="8"/>
  <c r="B98" i="8"/>
  <c r="B100" i="8" s="1"/>
  <c r="D100" i="8" s="1"/>
  <c r="B150" i="8"/>
  <c r="D150" i="8" s="1"/>
  <c r="B134" i="6"/>
  <c r="D134" i="6"/>
  <c r="F86" i="3"/>
  <c r="B134" i="8" l="1"/>
  <c r="D134" i="8"/>
  <c r="D129" i="6"/>
  <c r="K171" i="4"/>
  <c r="L171" i="4" s="1"/>
  <c r="Q171" i="4" s="1"/>
  <c r="K29" i="4"/>
  <c r="L29" i="4" l="1"/>
  <c r="K141" i="4"/>
  <c r="K23" i="4"/>
  <c r="K139" i="4"/>
  <c r="G32" i="4"/>
  <c r="G34" i="4"/>
  <c r="K34" i="4" s="1"/>
  <c r="G33" i="4"/>
  <c r="K33" i="4" s="1"/>
  <c r="K131" i="4"/>
  <c r="L131" i="4" s="1"/>
  <c r="K132" i="4"/>
  <c r="L132" i="4" s="1"/>
  <c r="K125" i="4"/>
  <c r="L125" i="4" s="1"/>
  <c r="N125" i="4" s="1"/>
  <c r="K127" i="4"/>
  <c r="L127" i="4" s="1"/>
  <c r="N127" i="4" s="1"/>
  <c r="K140" i="4"/>
  <c r="L141" i="4" l="1"/>
  <c r="Q141" i="4"/>
  <c r="L139" i="4"/>
  <c r="Q139" i="4"/>
  <c r="L140" i="4"/>
  <c r="Q140" i="4"/>
  <c r="L33" i="4"/>
  <c r="M33" i="4"/>
  <c r="L34" i="4"/>
  <c r="M34" i="4"/>
  <c r="L23" i="4"/>
  <c r="N133" i="4"/>
  <c r="H66" i="8" s="1"/>
  <c r="J66" i="8" s="1"/>
  <c r="M133" i="4"/>
  <c r="M135" i="4" s="1"/>
  <c r="K143" i="4"/>
  <c r="K166" i="4"/>
  <c r="L166" i="4" s="1"/>
  <c r="K661" i="4"/>
  <c r="K32" i="4"/>
  <c r="K142" i="4"/>
  <c r="K42" i="4"/>
  <c r="G30" i="4"/>
  <c r="K30" i="4" s="1"/>
  <c r="G31" i="4"/>
  <c r="K31" i="4" s="1"/>
  <c r="K663" i="4"/>
  <c r="L175" i="4"/>
  <c r="Q175" i="4" s="1"/>
  <c r="K130" i="4"/>
  <c r="L130" i="4" s="1"/>
  <c r="K129" i="4"/>
  <c r="L129" i="4" s="1"/>
  <c r="Q166" i="4" l="1"/>
  <c r="Q176" i="4" s="1"/>
  <c r="L176" i="4"/>
  <c r="B89" i="8" s="1"/>
  <c r="L142" i="4"/>
  <c r="Q142" i="4"/>
  <c r="L143" i="4"/>
  <c r="Q143" i="4"/>
  <c r="L31" i="4"/>
  <c r="M31" i="4"/>
  <c r="L42" i="4"/>
  <c r="L32" i="4"/>
  <c r="M32" i="4"/>
  <c r="L30" i="4"/>
  <c r="M30" i="4"/>
  <c r="L661" i="4"/>
  <c r="M661" i="4"/>
  <c r="L663" i="4"/>
  <c r="M663" i="4"/>
  <c r="N135" i="4"/>
  <c r="H13" i="6"/>
  <c r="H66" i="6" s="1"/>
  <c r="J66" i="6" s="1"/>
  <c r="L133" i="4"/>
  <c r="K664" i="4"/>
  <c r="Q19" i="6" l="1"/>
  <c r="Q18" i="6" s="1"/>
  <c r="S18" i="6" s="1"/>
  <c r="Q18" i="8"/>
  <c r="B13" i="6"/>
  <c r="B82" i="6" s="1"/>
  <c r="B83" i="6" s="1"/>
  <c r="D83" i="6" s="1"/>
  <c r="B82" i="8"/>
  <c r="B83" i="8" s="1"/>
  <c r="D83" i="8" s="1"/>
  <c r="J13" i="6"/>
  <c r="J13" i="8"/>
  <c r="Q144" i="4"/>
  <c r="Q14" i="8" s="1"/>
  <c r="S14" i="8" s="1"/>
  <c r="L144" i="4"/>
  <c r="L664" i="4"/>
  <c r="M664" i="4"/>
  <c r="B19" i="6"/>
  <c r="B89" i="6" s="1"/>
  <c r="L135" i="4"/>
  <c r="K665" i="4"/>
  <c r="S18" i="8" l="1"/>
  <c r="Q66" i="8"/>
  <c r="S66" i="8" s="1"/>
  <c r="D13" i="6"/>
  <c r="D13" i="8"/>
  <c r="B15" i="6"/>
  <c r="B86" i="6" s="1"/>
  <c r="Q15" i="6"/>
  <c r="Q14" i="6" s="1"/>
  <c r="L665" i="4"/>
  <c r="L672" i="4" s="1"/>
  <c r="M665" i="4"/>
  <c r="M672" i="4" s="1"/>
  <c r="D15" i="6" l="1"/>
  <c r="D15" i="8"/>
  <c r="B86" i="8"/>
  <c r="B93" i="8" s="1"/>
  <c r="D93" i="8" s="1"/>
  <c r="S14" i="6"/>
  <c r="Q66" i="6"/>
  <c r="S66" i="6" s="1"/>
  <c r="K16" i="4"/>
  <c r="K14" i="4"/>
  <c r="B93" i="6" l="1"/>
  <c r="D93" i="6" s="1"/>
  <c r="L16" i="4"/>
  <c r="M16" i="4"/>
  <c r="L14" i="4"/>
  <c r="M14" i="4"/>
  <c r="K19" i="4"/>
  <c r="K18" i="4"/>
  <c r="K21" i="4"/>
  <c r="K17" i="4"/>
  <c r="K20" i="4"/>
  <c r="L20" i="4" l="1"/>
  <c r="L17" i="4"/>
  <c r="M17" i="4"/>
  <c r="L21" i="4"/>
  <c r="L18" i="4"/>
  <c r="M18" i="4"/>
  <c r="L19" i="4"/>
  <c r="M19" i="4"/>
  <c r="M48" i="4" l="1"/>
  <c r="L48" i="4"/>
  <c r="L119" i="4" l="1"/>
  <c r="M119" i="4"/>
  <c r="E7" i="6"/>
  <c r="E6" i="6" s="1"/>
  <c r="B7" i="6"/>
  <c r="B6" i="6" s="1"/>
  <c r="B73" i="8" l="1"/>
  <c r="B79" i="8" s="1"/>
  <c r="D79" i="8" s="1"/>
  <c r="B6" i="8"/>
  <c r="D6" i="8" s="1"/>
  <c r="E66" i="8"/>
  <c r="G66" i="8" s="1"/>
  <c r="E6" i="8"/>
  <c r="G6" i="8" s="1"/>
  <c r="B73" i="6"/>
  <c r="D6" i="6"/>
  <c r="G6" i="6"/>
  <c r="E66" i="6"/>
  <c r="L121" i="4"/>
  <c r="M121" i="4"/>
  <c r="B79" i="6" l="1"/>
  <c r="D79" i="6" s="1"/>
  <c r="G66" i="6"/>
  <c r="N121" i="4"/>
  <c r="P121" i="4"/>
  <c r="P119" i="4"/>
  <c r="Q119" i="7"/>
  <c r="Q121" i="7"/>
  <c r="Q121" i="4"/>
  <c r="Q119" i="4"/>
  <c r="P119" i="7"/>
  <c r="P121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Ruiz Ugarte</author>
    <author>tc={0814BC1F-E09D-4DD1-841B-F2560A476873}</author>
  </authors>
  <commentList>
    <comment ref="E315" authorId="0" shapeId="0" xr:uid="{0371A7EF-92C4-435C-9C9A-46167C2B46E0}">
      <text>
        <r>
          <rPr>
            <b/>
            <sz val="9"/>
            <color indexed="81"/>
            <rFont val="Tahoma"/>
            <family val="2"/>
          </rPr>
          <t>David Ruiz Ugarte:</t>
        </r>
        <r>
          <rPr>
            <sz val="9"/>
            <color indexed="81"/>
            <rFont val="Tahoma"/>
            <family val="2"/>
          </rPr>
          <t xml:space="preserve">
La persona de logística no va a leer nada. En Eroski y en Premontaje, el operario que coge las piezas, al leerlas, las ubica directamente en la linea de montaje.
La línea es el carro.
Verificar esto con sistemas y ver si el conjunto tendrá o no una etiqueta. Si tiene etiqueta, podemos decir al sistema, que estos conjuntos si se tienen que leer. El operario, al leerlo lo deja en un almacén premontaje.</t>
        </r>
      </text>
    </comment>
    <comment ref="E333" authorId="0" shapeId="0" xr:uid="{0C343F19-B39F-4F2A-A1AF-AFAFA7E4223E}">
      <text>
        <r>
          <rPr>
            <b/>
            <sz val="9"/>
            <color indexed="81"/>
            <rFont val="Tahoma"/>
            <family val="2"/>
          </rPr>
          <t>David Ruiz Ugarte:</t>
        </r>
        <r>
          <rPr>
            <sz val="9"/>
            <color indexed="81"/>
            <rFont val="Tahoma"/>
            <family val="2"/>
          </rPr>
          <t xml:space="preserve">
La persona de logística no va a leer nada. En Eroski y en Premontaje, el operario que coge las piezas, al leerlas, las ubica directamente en la linea de montaje.
La línea es el carro.
Verificar esto con sistemas y ver si el conjunto tendrá o no una etiqueta. Si tiene etiqueta, podemos decir al sistema, que estos conjuntos si se tienen que leer. El operario, al leerlo lo deja en un almacén premontaje.</t>
        </r>
      </text>
    </comment>
    <comment ref="E377" authorId="1" shapeId="0" xr:uid="{0814BC1F-E09D-4DD1-841B-F2560A476873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genera etiqueta de destino?? Cómo se donde va??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Ruiz Ugarte</author>
    <author>tc={29E0D0CA-2A26-47A1-877E-B2D2B768A3F0}</author>
  </authors>
  <commentList>
    <comment ref="E315" authorId="0" shapeId="0" xr:uid="{995DB02D-86D9-42A2-A4E7-31CAEF5939CA}">
      <text>
        <r>
          <rPr>
            <b/>
            <sz val="9"/>
            <color indexed="81"/>
            <rFont val="Tahoma"/>
            <family val="2"/>
          </rPr>
          <t>David Ruiz Ugarte:</t>
        </r>
        <r>
          <rPr>
            <sz val="9"/>
            <color indexed="81"/>
            <rFont val="Tahoma"/>
            <family val="2"/>
          </rPr>
          <t xml:space="preserve">
La persona de logística no va a leer nada. En Eroski y en Premontaje, el operario que coge las piezas, al leerlas, las ubica directamente en la linea de montaje.
La línea es el carro.
Verificar esto con sistemas y ver si el conjunto tendrá o no una etiqueta. Si tiene etiqueta, podemos decir al sistema, que estos conjuntos si se tienen que leer. El operario, al leerlo lo deja en un almacén premontaje.</t>
        </r>
      </text>
    </comment>
    <comment ref="E333" authorId="0" shapeId="0" xr:uid="{6B378D88-0412-4124-A709-3E59311DB655}">
      <text>
        <r>
          <rPr>
            <b/>
            <sz val="9"/>
            <color indexed="81"/>
            <rFont val="Tahoma"/>
            <family val="2"/>
          </rPr>
          <t>David Ruiz Ugarte:</t>
        </r>
        <r>
          <rPr>
            <sz val="9"/>
            <color indexed="81"/>
            <rFont val="Tahoma"/>
            <family val="2"/>
          </rPr>
          <t xml:space="preserve">
La persona de logística no va a leer nada. En Eroski y en Premontaje, el operario que coge las piezas, al leerlas, las ubica directamente en la linea de montaje.
La línea es el carro.
Verificar esto con sistemas y ver si el conjunto tendrá o no una etiqueta. Si tiene etiqueta, podemos decir al sistema, que estos conjuntos si se tienen que leer. El operario, al leerlo lo deja en un almacén premontaje.</t>
        </r>
      </text>
    </comment>
    <comment ref="E377" authorId="1" shapeId="0" xr:uid="{29E0D0CA-2A26-47A1-877E-B2D2B768A3F0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genera etiqueta de destino?? Cómo se donde va??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Ruiz Ugarte</author>
    <author>tc={3B3C6592-6AAB-4457-9B40-CBB6C766D76F}</author>
    <author>tc={F398D5AC-2089-4BCA-B3AF-5B651A6C5A39}</author>
  </authors>
  <commentList>
    <comment ref="F14" authorId="0" shapeId="0" xr:uid="{E0207C77-28B4-4395-9BDC-1B83378B2353}">
      <text>
        <r>
          <rPr>
            <b/>
            <sz val="9"/>
            <color indexed="81"/>
            <rFont val="Tahoma"/>
            <family val="2"/>
          </rPr>
          <t>David Ruiz Ugarte:</t>
        </r>
        <r>
          <rPr>
            <sz val="9"/>
            <color indexed="81"/>
            <rFont val="Tahoma"/>
            <family val="2"/>
          </rPr>
          <t xml:space="preserve">
Carretilla arriba. Hay más carretillas arriba? Se puede usar cuando llega el camión?</t>
        </r>
      </text>
    </comment>
    <comment ref="R18" authorId="0" shapeId="0" xr:uid="{00AEAC2A-6F26-4BE4-A595-7174244B4871}">
      <text>
        <r>
          <rPr>
            <b/>
            <sz val="9"/>
            <color indexed="81"/>
            <rFont val="Tahoma"/>
            <family val="2"/>
          </rPr>
          <t>David Ruiz Ugarte:</t>
        </r>
        <r>
          <rPr>
            <sz val="9"/>
            <color indexed="81"/>
            <rFont val="Tahoma"/>
            <family val="2"/>
          </rPr>
          <t xml:space="preserve">
A la tarde solo 1</t>
        </r>
      </text>
    </comment>
    <comment ref="E46" authorId="1" shapeId="0" xr:uid="{3B3C6592-6AAB-4457-9B40-CBB6C766D76F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Apilador?? Uno solo para esto??</t>
        </r>
      </text>
    </comment>
    <comment ref="F48" authorId="2" shapeId="0" xr:uid="{F398D5AC-2089-4BCA-B3AF-5B651A6C5A39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Toro que carga 120 en camión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Ruiz Ugarte</author>
    <author>tc={3B77CA2F-BD81-4EBB-9FF0-C8D455738186}</author>
    <author>tc={FE39EDBB-428C-473D-B74D-3B80F2030ACF}</author>
  </authors>
  <commentList>
    <comment ref="F14" authorId="0" shapeId="0" xr:uid="{6DB20572-D156-4D53-9C5F-80FACD0CF653}">
      <text>
        <r>
          <rPr>
            <b/>
            <sz val="9"/>
            <color indexed="81"/>
            <rFont val="Tahoma"/>
            <family val="2"/>
          </rPr>
          <t>David Ruiz Ugarte:</t>
        </r>
        <r>
          <rPr>
            <sz val="9"/>
            <color indexed="81"/>
            <rFont val="Tahoma"/>
            <family val="2"/>
          </rPr>
          <t xml:space="preserve">
Carretilla arriba. Hay más carretillas arriba? Se puede usar cuando llega el camión?</t>
        </r>
      </text>
    </comment>
    <comment ref="R18" authorId="0" shapeId="0" xr:uid="{E7C33D7D-5D4C-41D9-B1EF-3A892E251CD7}">
      <text>
        <r>
          <rPr>
            <b/>
            <sz val="9"/>
            <color indexed="81"/>
            <rFont val="Tahoma"/>
            <family val="2"/>
          </rPr>
          <t>David Ruiz Ugarte:</t>
        </r>
        <r>
          <rPr>
            <sz val="9"/>
            <color indexed="81"/>
            <rFont val="Tahoma"/>
            <family val="2"/>
          </rPr>
          <t xml:space="preserve">
A la tarde solo 1</t>
        </r>
      </text>
    </comment>
    <comment ref="E46" authorId="1" shapeId="0" xr:uid="{3B77CA2F-BD81-4EBB-9FF0-C8D455738186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Apilador?? Uno solo para esto??</t>
        </r>
      </text>
    </comment>
    <comment ref="F48" authorId="2" shapeId="0" xr:uid="{FE39EDBB-428C-473D-B74D-3B80F2030ACF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Toro que carga 120 en camión</t>
        </r>
      </text>
    </comment>
  </commentList>
</comments>
</file>

<file path=xl/sharedStrings.xml><?xml version="1.0" encoding="utf-8"?>
<sst xmlns="http://schemas.openxmlformats.org/spreadsheetml/2006/main" count="3313" uniqueCount="1145">
  <si>
    <t>CRITERIOS DE TIEMPOS</t>
  </si>
  <si>
    <t>Criterios de Tiempo para FTE</t>
  </si>
  <si>
    <t>Tiempo Bruto Turno Operario</t>
  </si>
  <si>
    <t>min</t>
  </si>
  <si>
    <t>Tiempo Bocadillo</t>
  </si>
  <si>
    <t>Tiempo Servicio</t>
  </si>
  <si>
    <t>Coeficientes a aplicar sobre el tiempo cronometrado a una actividad 100%</t>
  </si>
  <si>
    <t>Suplemento de fatiga operario (según O.I.T.):</t>
  </si>
  <si>
    <t>Coeficiente Fatiga Base</t>
  </si>
  <si>
    <t>Coeficiente Fatiga por Necesidades Personales</t>
  </si>
  <si>
    <t>Coeficiente Fatiga por Operaciones realizados con Peso</t>
  </si>
  <si>
    <t>Coeficiente Fatiga por Operaciones realizados de Pie</t>
  </si>
  <si>
    <t>Cuoficiente de incidencias:</t>
  </si>
  <si>
    <t>Desplazamiento a Pie o Máquina</t>
  </si>
  <si>
    <t>Desplazamiento</t>
  </si>
  <si>
    <t>Velocidad (m/ seg)</t>
  </si>
  <si>
    <t>Velocidad (Km/ h)</t>
  </si>
  <si>
    <t>Persona</t>
  </si>
  <si>
    <t>Máquina</t>
  </si>
  <si>
    <t>Desplazamientos para Procesos</t>
  </si>
  <si>
    <t>PROCESO</t>
  </si>
  <si>
    <t>TAREAS</t>
  </si>
  <si>
    <t>CODIGO</t>
  </si>
  <si>
    <t>METROS</t>
  </si>
  <si>
    <t>TIEMPO (Min)</t>
  </si>
  <si>
    <t>RECEPCION</t>
  </si>
  <si>
    <t>VOLUMENES</t>
  </si>
  <si>
    <t>Unidades por día</t>
  </si>
  <si>
    <t>Tarea</t>
  </si>
  <si>
    <t>Código</t>
  </si>
  <si>
    <t>Item</t>
  </si>
  <si>
    <t>nº personas Manipulación</t>
  </si>
  <si>
    <t>Pasos del proceso</t>
  </si>
  <si>
    <t>Unidad de Manipulación (UM)</t>
  </si>
  <si>
    <t>nº UM/ día</t>
  </si>
  <si>
    <t>d (m)</t>
  </si>
  <si>
    <t>Tiempo por UM (min)</t>
  </si>
  <si>
    <t>Tiempo con CF por UM (min)</t>
  </si>
  <si>
    <t>MOD min/ día</t>
  </si>
  <si>
    <t>RECEPCION MATERIAL</t>
  </si>
  <si>
    <t xml:space="preserve">Personal teórico necesario: </t>
  </si>
  <si>
    <t xml:space="preserve">Personal real: </t>
  </si>
  <si>
    <t xml:space="preserve">Saturación: </t>
  </si>
  <si>
    <t>Tiempo Neto Operario 1T</t>
  </si>
  <si>
    <t>Tiempo Neto Operario 2T</t>
  </si>
  <si>
    <t>Maq. Asignada</t>
  </si>
  <si>
    <t>PER</t>
  </si>
  <si>
    <t>Revisar documentación entregada por transportista</t>
  </si>
  <si>
    <t>Desplazamiento de oficina recepción a camión</t>
  </si>
  <si>
    <t>Chequear si hay daños en la mercancia</t>
  </si>
  <si>
    <t>Detectado Contenedor Dañado</t>
  </si>
  <si>
    <t>Indicar en la documentación la información necesaria y sello especial</t>
  </si>
  <si>
    <t>Desplazamiento de oficina recepción a área recepción</t>
  </si>
  <si>
    <t>Desplazamiento en la operaciones de chequeo</t>
  </si>
  <si>
    <t>Desplazamiento de área recepción a oficina recepción</t>
  </si>
  <si>
    <t>Desplazamiento de área de recepción a PC+IMPRESORA</t>
  </si>
  <si>
    <t>Generar talones de ubicación</t>
  </si>
  <si>
    <t>Desplazamiento de PC+IMPRESORA a área de recepción</t>
  </si>
  <si>
    <t>Desplazamiento en la operaciones de talonado</t>
  </si>
  <si>
    <t>Desplazamiento de área de recepción a oficina recepción</t>
  </si>
  <si>
    <t>QA_REC_SIN</t>
  </si>
  <si>
    <t>Coger contenedor siniestrado y dejarlo en zona Calidad Recepción</t>
  </si>
  <si>
    <t>Bultos unitarios en el camión</t>
  </si>
  <si>
    <t>Procesos</t>
  </si>
  <si>
    <t>Personal Real</t>
  </si>
  <si>
    <t>CUADRO DE MANDOS</t>
  </si>
  <si>
    <t>UBICACIÓN MATERIAL</t>
  </si>
  <si>
    <t>Desplazamiento de recepción a ubicación</t>
  </si>
  <si>
    <t>Desplazamiento de ubicación a recepción</t>
  </si>
  <si>
    <t>MAQ</t>
  </si>
  <si>
    <t>Referencias en Total de 8 a 25 Kg.</t>
  </si>
  <si>
    <t>Referencias Externas (de proveedor)</t>
  </si>
  <si>
    <t>REF_TOTAL</t>
  </si>
  <si>
    <t>REF_EXT</t>
  </si>
  <si>
    <t>REF_EXT_TRA</t>
  </si>
  <si>
    <t>Tiempo en que se reciben todas las piezas externas (días)</t>
  </si>
  <si>
    <t>CONT_TRA</t>
  </si>
  <si>
    <t>Traslado desde almacén a Recepciones contenedores vacios para trasvase</t>
  </si>
  <si>
    <t>CAMBIO CONT. CORRECTOS EN LINEA</t>
  </si>
  <si>
    <t>Coger contenedor del camión</t>
  </si>
  <si>
    <t>Desplazamiento desde el camión hasta zona Recepción</t>
  </si>
  <si>
    <t>Dejar contenedor en su ubicación</t>
  </si>
  <si>
    <t>Contenedores de proveedores externos van al almcacén</t>
  </si>
  <si>
    <t>Contenedores de txapa que van a almacén (linea)</t>
  </si>
  <si>
    <t>Desubicación en Ref. con destino línea final</t>
  </si>
  <si>
    <t>Desubicación en Ref. con destino Premontaje</t>
  </si>
  <si>
    <t>Desubicación en Ref. para comisionado (paneles)</t>
  </si>
  <si>
    <t>Referencias a ubicar totales</t>
  </si>
  <si>
    <t>Referencias desde proveedores</t>
  </si>
  <si>
    <t>Referencias Interiores</t>
  </si>
  <si>
    <t>Quitando 282 productos ficticios y 49 materia prima</t>
  </si>
  <si>
    <t>Desplazamiento desde Línea hasta reciclaje madera china</t>
  </si>
  <si>
    <t>Desplazamiento zona recepcionada hasta calidad Recepción</t>
  </si>
  <si>
    <t>Descripción</t>
  </si>
  <si>
    <t>Cant. 1</t>
  </si>
  <si>
    <t>Máquinas día:</t>
  </si>
  <si>
    <t>Suministros línea</t>
  </si>
  <si>
    <t>SUMINISTRO</t>
  </si>
  <si>
    <t>Desplazamiento premontajes montados hacia las líneas (solo ida)</t>
  </si>
  <si>
    <t>Cajas movidas día Würth en 2019</t>
  </si>
  <si>
    <t>TIPO</t>
  </si>
  <si>
    <t>Desplazamientos cajas Würth (hacemos 4 viajes pero vamos a varios sitios en la línea)</t>
  </si>
  <si>
    <t>Cajas movidas al dia (8 - 25 kg.)</t>
  </si>
  <si>
    <t>Referencias existentes pero que no salen en el listado de cajas</t>
  </si>
  <si>
    <t>suma aprox (inventada)</t>
  </si>
  <si>
    <t>Cajas totales movimientos línea (Línea/Premontaje)</t>
  </si>
  <si>
    <t>Cajas totales para comisionado paneles</t>
  </si>
  <si>
    <t>CONT_MONT</t>
  </si>
  <si>
    <t>Km/h oficiales</t>
  </si>
  <si>
    <t>Cojo carro vació de la línea de suministro</t>
  </si>
  <si>
    <t>CAMION</t>
  </si>
  <si>
    <t>Referencias para realizar trasvase</t>
  </si>
  <si>
    <t>Referencias por día para travasar</t>
  </si>
  <si>
    <t>Piezas por caja referencias externas</t>
  </si>
  <si>
    <t>Cajas diarias para trasvasar en Recepciones</t>
  </si>
  <si>
    <t>BULT_REC</t>
  </si>
  <si>
    <t>Porcentaje contenedor dañado</t>
  </si>
  <si>
    <t>BULT_REC_L1</t>
  </si>
  <si>
    <t>BULT_REC_RES</t>
  </si>
  <si>
    <t>Bultos recepcionados proveedores 8 - 25 kg</t>
  </si>
  <si>
    <t>Bultos recepcionados proveedores 35 - 120 kg</t>
  </si>
  <si>
    <t>Bultos recepcionados proveedores totales</t>
  </si>
  <si>
    <t>Bultos internos 8 -25 kg (proveeedores y txapa)</t>
  </si>
  <si>
    <t>Bultos internos 35 - 120 kg (proveedores y txapa)</t>
  </si>
  <si>
    <t>UB_BUL_REST</t>
  </si>
  <si>
    <t>UB_BUL_L1</t>
  </si>
  <si>
    <t>UB_BUL_TRANS</t>
  </si>
  <si>
    <t>Bultos de Proveedores</t>
  </si>
  <si>
    <t>Bultos de Internas</t>
  </si>
  <si>
    <t>UB_BUL_PROV</t>
  </si>
  <si>
    <t>UB_BUL_INT</t>
  </si>
  <si>
    <t>Desplazamiento desde Txapa hasta el almacén</t>
  </si>
  <si>
    <t>Desde impresora desubicación hasta almacén</t>
  </si>
  <si>
    <t>DESP_DESU</t>
  </si>
  <si>
    <t>Paneles laterales + Frente fondo</t>
  </si>
  <si>
    <t>Piezas totales Paneles Laterales + Frente Fondo</t>
  </si>
  <si>
    <t>PANEL_DESB</t>
  </si>
  <si>
    <t>Desubicación panel lateral más frente fondo (viajes día)</t>
  </si>
  <si>
    <t>TRANS_PANEL</t>
  </si>
  <si>
    <t>REF_CHINA</t>
  </si>
  <si>
    <t>PROCESOS OPERACIONES LOGISTICAS</t>
  </si>
  <si>
    <t>Desplazamiento de almacén hasta segunda planta</t>
  </si>
  <si>
    <t>Camión a Recepción</t>
  </si>
  <si>
    <t>TXAPA_SANT</t>
  </si>
  <si>
    <t>Camiones recibidos</t>
  </si>
  <si>
    <t>Datos NOOK en Recepción</t>
  </si>
  <si>
    <t>MAT_NOOK</t>
  </si>
  <si>
    <t>TRASVASE CONTENEDORES CORRECTOS EN LINEA</t>
  </si>
  <si>
    <t>TODAS LAS ENTRADAS DE MATERIAL SE HACEN CON LO RECIBIDO EN EL 2019 Y NO CON CONSUMOS DE LINEA. LA DIFERENCIA ES AMPLIA</t>
  </si>
  <si>
    <t>Referencias incluidas en el palet de suministro desde zona de salida almacén a los premontajes/Línea (8-25)</t>
  </si>
  <si>
    <t>Referencias incluidas en el palet de suministro desde zona de salida almacén a los premontajes/Línea (35-120)</t>
  </si>
  <si>
    <t>Desplazamiento entre palet original y el palet de ubicación</t>
  </si>
  <si>
    <t>Bultos Decanting</t>
  </si>
  <si>
    <t>BUL_DECANT</t>
  </si>
  <si>
    <t>Viajes estiva decanting</t>
  </si>
  <si>
    <t>VIA_ESTIVA</t>
  </si>
  <si>
    <t>CAM_GARIB</t>
  </si>
  <si>
    <t>Bultos siniestrados referencias China</t>
  </si>
  <si>
    <t>QA_REF_CHINA</t>
  </si>
  <si>
    <t>Subido algo ambos tiempos</t>
  </si>
  <si>
    <t>Desplazamiento desde impresora hasta almacén China segunda planta DESUBICACIÓN</t>
  </si>
  <si>
    <t>CON_TOT</t>
  </si>
  <si>
    <t>Consumos totales (PROV/TXAPA) 8 - 120 kg. SIN WURTH</t>
  </si>
  <si>
    <t>Máquinas Todas</t>
  </si>
  <si>
    <t>Cajas proveedor 8-120</t>
  </si>
  <si>
    <t>Bultos entrada</t>
  </si>
  <si>
    <t>Cajas China</t>
  </si>
  <si>
    <t>Cajas Totales sin China y con cajas de Txapa interna</t>
  </si>
  <si>
    <t>BUL_ENTR</t>
  </si>
  <si>
    <t>Colocar contenedor en zona de carga del almacen auto</t>
  </si>
  <si>
    <t>Correcciones Errores Inventario Txapa</t>
  </si>
  <si>
    <t>CORR_TXAPA</t>
  </si>
  <si>
    <t>Bultos desubicados para línea o premontaje sin China</t>
  </si>
  <si>
    <t>BUL_DESUB</t>
  </si>
  <si>
    <t>Comprobar nº de bultos por tipo de contenedor contra CMR/AdT y documento interno (generado por Fagor)</t>
  </si>
  <si>
    <t>Cogemos 3 estivas a la vez</t>
  </si>
  <si>
    <t>Desplazamiento desde Dobladora hasta almacén normal</t>
  </si>
  <si>
    <t>Desplazamiento de ubicación a dobladora</t>
  </si>
  <si>
    <t>Desplazamiento desde almacén automático hasta dobladora</t>
  </si>
  <si>
    <t>Desplazamiento desde dobladora hasta almacén automático</t>
  </si>
  <si>
    <t>Metido desde la 8 hasta la 120</t>
  </si>
  <si>
    <t>Desplazamiento en la operacion de chequeo</t>
  </si>
  <si>
    <t>Subirse a la carretilla</t>
  </si>
  <si>
    <t>Desplazamiento hasta la máquina</t>
  </si>
  <si>
    <t>Desplazamiento a por la máquina</t>
  </si>
  <si>
    <t>DESUBICACIÓN MATERIAL ALMACÉN (8 - 120)</t>
  </si>
  <si>
    <t>Desplazamiento desde zona de salida hasta las líneas o premontajes (35-120)</t>
  </si>
  <si>
    <t>Desplazamiento desde línea de montaje hasta premontaje (35 - 120)</t>
  </si>
  <si>
    <t>Desplazamiento en zona de Trasvase hasta el pallet de ubicación</t>
  </si>
  <si>
    <t>Desplazamiento para coger el contenedor definitivo interno</t>
  </si>
  <si>
    <t>Realizar trasvase de contenedor</t>
  </si>
  <si>
    <t>Tirar cartones a zona de reciclaje</t>
  </si>
  <si>
    <t>Desplazamiento desde el contenedor interno hasta la zona de Trasvase-Recepción</t>
  </si>
  <si>
    <t>Coger talon ubicación (ejem. o dos talones si viene el doble) y pegarlo al definitivo</t>
  </si>
  <si>
    <t>LA RUTAS DE SUMINISTRO A PREMONTAJE O LINEA, CUANDO SE RETORNA EL CONTENEDOR VACIO, TIENEN QUE IR A TRASVASE A DEJARLO</t>
  </si>
  <si>
    <t>PAL_TRASVASE</t>
  </si>
  <si>
    <t>Coger Pallets de Pallets almacén hasta Trasvase</t>
  </si>
  <si>
    <t>Pallet vacíos en almacén</t>
  </si>
  <si>
    <t>PAL_VACIO</t>
  </si>
  <si>
    <t>CAR_KIT_VAC</t>
  </si>
  <si>
    <t>CAR_KIT_LLE</t>
  </si>
  <si>
    <t>CAR_KIT_VAC_35</t>
  </si>
  <si>
    <t>Colocar pallet en Ubicación</t>
  </si>
  <si>
    <t>Leer etiqueta de la caja y ubicación</t>
  </si>
  <si>
    <t>CAMION CHAPA</t>
  </si>
  <si>
    <t>Camiones Chapa de Santxo a Garibai</t>
  </si>
  <si>
    <t>Dos camiones por turno</t>
  </si>
  <si>
    <t>Desplazamiento desde Recepciones hasta ubicación contenedores dañados/sin doc</t>
  </si>
  <si>
    <t>Desplazamiento de oficina recepción a área de recepción</t>
  </si>
  <si>
    <t>Colocar talón (tarjeta roja QC) y documentación en contenedor siniestrado</t>
  </si>
  <si>
    <t>Desplazamiento desde el camión hasta zona Recepción (ida y vuelta)</t>
  </si>
  <si>
    <t>Sellado de la documentacion con sello y devolver al Transportista</t>
  </si>
  <si>
    <t>Compruebo albarán de proveedor contra las cajas enviadas (Ref, Cant., TConAsig, Tcont Real….)</t>
  </si>
  <si>
    <t>Desplazamiento en la operaciones de chequeo cajas recibidas proveedor</t>
  </si>
  <si>
    <t>Si existe algún dato NOOK trasladar anomalía en albaran proveedor</t>
  </si>
  <si>
    <t>Introducir datos correctos en sistema (chequeo albaran proveedor vs pedido Fagor)</t>
  </si>
  <si>
    <t>Si hay error en datos (Ref, cant, tipo contenedor….), verificar con Acopiador</t>
  </si>
  <si>
    <t>MAT_NOOK_FAG</t>
  </si>
  <si>
    <t>Contar piezas de un proveedor o referencia</t>
  </si>
  <si>
    <t>CONTAR_REF</t>
  </si>
  <si>
    <t>Contar piezas de una referencia</t>
  </si>
  <si>
    <t>Traspaleta</t>
  </si>
  <si>
    <t>Desplazamiento desde Recepción hasta ubicación destino (QC, Trasvase y entrada almacén)</t>
  </si>
  <si>
    <t>Desplazamiento desde Recepciones hasta su ubicación final (QC, Trasvase, entrada alma.)</t>
  </si>
  <si>
    <t>Desplazamiento desde Recepción hasta su ubicación correctaa (QC; Trasvase, entrada alm)</t>
  </si>
  <si>
    <t>Coger palet con la maquIna y colocarla en el suelo. DECANTING</t>
  </si>
  <si>
    <t>Desplazamiento entre palet original y el palet de ubicación DECANTING</t>
  </si>
  <si>
    <t>Desplazamiento entre ubicación cajas recepcionadas y pallet DECANTING</t>
  </si>
  <si>
    <t>Coger caja de proveedor DECANTING</t>
  </si>
  <si>
    <t>Dejarla en su palet de ubicación DECANTING</t>
  </si>
  <si>
    <t>Desplazamiento desde Recepciones hasta el camión</t>
  </si>
  <si>
    <t>Revisar documentación entregada por transportista (CMR)</t>
  </si>
  <si>
    <t>Comprobar nº de bultos por tipo de contenedor contra el CMR</t>
  </si>
  <si>
    <t>Sellado de la documentacion con sello (CMR)</t>
  </si>
  <si>
    <t>Comprobar etiqueta contenedor contra albarán de Santxo (Ref, Cant, TCont Asig, TCont Real, …)</t>
  </si>
  <si>
    <t>Desplazamiento en la operacion de chequeo CMR</t>
  </si>
  <si>
    <t>Si existe algún dato NOOK trasladar anomalía en albarán de Santxo</t>
  </si>
  <si>
    <t>Introducir datos en sistema (traspaso interno)</t>
  </si>
  <si>
    <t>Datos NOOK en el albarán de proveedor (solo las referecias equivocadas) generar registro en sistema</t>
  </si>
  <si>
    <t>Colocar talón en contenedor comprobando Ref-Cant (normales, QC, trasvase y conteo)</t>
  </si>
  <si>
    <t>Colocar talón en contenedor comprobando Ref-Cant (normales, QC o conteo)</t>
  </si>
  <si>
    <t>CAM_CHAPA_ARR</t>
  </si>
  <si>
    <t>Desplazamiento Chapa segunda planta (2D)</t>
  </si>
  <si>
    <t>BUL_ENTR_CHAP2D</t>
  </si>
  <si>
    <t>BUL_ENTR_CHAP3D</t>
  </si>
  <si>
    <t>Datos NOOK Chapa</t>
  </si>
  <si>
    <t>MAT_NOOK_CHA</t>
  </si>
  <si>
    <t>Desplazamiento desde Recepción hasta ubicación destino (QC, conteo y entrada almacén)</t>
  </si>
  <si>
    <t>Desplazamiento desde Recepción hasta ubicación destino (QC, conteo y entrada almacén automático)</t>
  </si>
  <si>
    <t>Desplazamiento de oficina recepción a camión en segunda planta (ida y vuelta)</t>
  </si>
  <si>
    <t>Desplazamiento hasta las piezas recepcionadas</t>
  </si>
  <si>
    <t>Leer etiqueta de material (Referencia y su caja final interna)</t>
  </si>
  <si>
    <t>Coger contenedores internos</t>
  </si>
  <si>
    <t>REF_TRA_CAJ</t>
  </si>
  <si>
    <t>Por cada caja del proveedor pasamos a 2 cajas de Fagor</t>
  </si>
  <si>
    <t>Cojer pallet de Recepción/Trasvase y leer etiqueta de ubicación</t>
  </si>
  <si>
    <t>Coger Chapa del almacén automático con la máquina</t>
  </si>
  <si>
    <t>Ubicar contenedor en su lugar en Dobladora</t>
  </si>
  <si>
    <t>Desubicación</t>
  </si>
  <si>
    <t>Ubicar caja de Chapa en almacén automático</t>
  </si>
  <si>
    <t>Ratio multireferencia Chapa 3D</t>
  </si>
  <si>
    <t>Ratio multireferencia Chapa 2D</t>
  </si>
  <si>
    <t>Coger contenedor de Recepción y dejar en ubicación en Recepción para su ubicación</t>
  </si>
  <si>
    <t>CAJ_RECEP</t>
  </si>
  <si>
    <t>PAL_REC_SAL</t>
  </si>
  <si>
    <t>PAL_REC_SAL3D</t>
  </si>
  <si>
    <t>PAL_REC_SAL2D</t>
  </si>
  <si>
    <t>Lectura de la etiqueta y la ubicación destino</t>
  </si>
  <si>
    <t>Lectura del pallet y de la ubicación origen</t>
  </si>
  <si>
    <t>Desplazamiento desde almacén hasta Recepciones (ida y vuelta)</t>
  </si>
  <si>
    <t>Coger el pallet del almacén</t>
  </si>
  <si>
    <t>Dejar el pallet lleno junto a la ubicación destino</t>
  </si>
  <si>
    <t>Cojar pallet vació de Picking y lo dejo a un lado</t>
  </si>
  <si>
    <t>Cojar el pallet lleno y lo meto en la ubicación de Picking</t>
  </si>
  <si>
    <t>Ubiaciones</t>
  </si>
  <si>
    <t>Cajas a desubicar (80 - 120 kg)</t>
  </si>
  <si>
    <t>Cajas 8 - 25 kg</t>
  </si>
  <si>
    <t>Cajas 35 - 60 kg</t>
  </si>
  <si>
    <t>Cajas 80 - 120 kg</t>
  </si>
  <si>
    <t>CAJ_8KG</t>
  </si>
  <si>
    <t>CAJ_35KG</t>
  </si>
  <si>
    <t>CAJ_120KG</t>
  </si>
  <si>
    <t>Cajas movidas al día (80 - 120 kg)</t>
  </si>
  <si>
    <t>Cajas movidas al día (35 - 60 kg.)</t>
  </si>
  <si>
    <t>Referencias externas para cambiar el contenedor (Internamente) Trasvase</t>
  </si>
  <si>
    <t>Cajas TOTALES movidas al día (8-25 kg.)</t>
  </si>
  <si>
    <t>Leer en la pistola la referencia (bajamos un pallet) a desubicar (Ubicación, referencia y zona fija - Picking)</t>
  </si>
  <si>
    <t>Cojar el pallet vació y lo ubicio en la zona correspondiente de Recepciones</t>
  </si>
  <si>
    <t>Cajas de almacén central que se dejan en Picking del suelo (solo para 35 - 80 kg.)</t>
  </si>
  <si>
    <t>Cajas de almacén central que se dejan en Picking del suelo (solo para 8 - 25 Kg.)</t>
  </si>
  <si>
    <t>Cajas desde Picking a Eroski 8 - 25 Kg</t>
  </si>
  <si>
    <t>Cajas desde Picking a Eroski 30 - 80 Kg</t>
  </si>
  <si>
    <t>Cajas desde almacén a Eroski 8 - 25 kg.</t>
  </si>
  <si>
    <t>Cajas desde almacén a Eroski 30 - 80 kg.</t>
  </si>
  <si>
    <t>CAJ_DES_ERO</t>
  </si>
  <si>
    <t>Cajas 8 - 25 kg. a Eroski</t>
  </si>
  <si>
    <t>Cajas 30 - 80 kg. a Eroski</t>
  </si>
  <si>
    <t>Cajas 80 - 120 Kg. Playa</t>
  </si>
  <si>
    <t>5 cajas en Eroski. Aquí está su consumo día</t>
  </si>
  <si>
    <t>59 cajas en Eroski. Aquí está su consumo día (inventado, ver cuál puede ser)</t>
  </si>
  <si>
    <t>Cajas en Playa</t>
  </si>
  <si>
    <t>Movimientos 8-25 kg para abastecer Würth diario (2 vueltas al turno - 1 Turno)</t>
  </si>
  <si>
    <t>Movimientos 35-120 kg para abastecer Würth diario (2 vueltas al turno - 1 Turno)</t>
  </si>
  <si>
    <t>Coger carro de suministro Würth (carro de transporte)</t>
  </si>
  <si>
    <t>Coger las etiquetas de los buzones (uno por puesto de montaje y uno por premontaje)</t>
  </si>
  <si>
    <t>Desplazamiento por las líneas y premontajes desde inicio hasta zona de Würth en almacén</t>
  </si>
  <si>
    <t>Mirar etiqueta y verter piezas de Würth en los contenedores de traslado</t>
  </si>
  <si>
    <t>Desplazamiento desde Würth almacen hasta líneas y premontajes</t>
  </si>
  <si>
    <t>Coger caja de transporte y verterlo las pieas en la caja de linea/premontaje</t>
  </si>
  <si>
    <t>Coger la etiqueta y colocarla en la caja "Würth" de la línea o premontaje</t>
  </si>
  <si>
    <t>Dejar carro de suministro Würth en su lugar</t>
  </si>
  <si>
    <t>MOV_WURTH8.1</t>
  </si>
  <si>
    <t>MOV_WURTH35.1</t>
  </si>
  <si>
    <t>CAJ_WURTH8.1</t>
  </si>
  <si>
    <t>CAJ_WURTH35.1</t>
  </si>
  <si>
    <t>Desplazamiento a por el carro Würth</t>
  </si>
  <si>
    <t>Carro Würth 8-25 kg. (2 vueltas al turno - 1 turno)</t>
  </si>
  <si>
    <t>CARR_WURTH8.1</t>
  </si>
  <si>
    <t>Carro Würth 35-120 kg. (2 vueltas al turno - 1 turno)</t>
  </si>
  <si>
    <t>CARR_WURTH35.1</t>
  </si>
  <si>
    <t>Wurth</t>
  </si>
  <si>
    <t>DESUB_PLA</t>
  </si>
  <si>
    <t>Número de veces que desubicamos cajas para Playa</t>
  </si>
  <si>
    <t>nº Ope/ día</t>
  </si>
  <si>
    <t>Turnos</t>
  </si>
  <si>
    <t>Cálculo tiempos máquina</t>
  </si>
  <si>
    <t>Turno</t>
  </si>
  <si>
    <t>CAR</t>
  </si>
  <si>
    <t>Carretillas</t>
  </si>
  <si>
    <t>Carretilla elevadora</t>
  </si>
  <si>
    <t>Transpaleta</t>
  </si>
  <si>
    <t>Tractora</t>
  </si>
  <si>
    <t>Retractil</t>
  </si>
  <si>
    <t>TRA</t>
  </si>
  <si>
    <t>RET</t>
  </si>
  <si>
    <t>TRC</t>
  </si>
  <si>
    <t>RECURSOS HUMANOS</t>
  </si>
  <si>
    <t>Nº Carretilla/día</t>
  </si>
  <si>
    <t>Nº Transpaleta/día</t>
  </si>
  <si>
    <t>Nº Tractora/día</t>
  </si>
  <si>
    <t>Nº Retractil/día</t>
  </si>
  <si>
    <t>Cajas desde Picking a Playa Totales Tarde</t>
  </si>
  <si>
    <t>Cajas desde Picking a Playa Totales Mañana</t>
  </si>
  <si>
    <t>CAJ_PIC_PLA_M</t>
  </si>
  <si>
    <t>CAJ_PIC_PLA_T</t>
  </si>
  <si>
    <t>Cajas desde Almacén Central a Playa Totales Mañana</t>
  </si>
  <si>
    <t>Cajas desde Almacén Central a Playa Totales Tarde</t>
  </si>
  <si>
    <t>CAJ_ALM_PLA_M</t>
  </si>
  <si>
    <t>CAJ_ALM_PLA_T</t>
  </si>
  <si>
    <t>Total Cajas a Playa mañana</t>
  </si>
  <si>
    <t>Total Cajas a Playa Tarde</t>
  </si>
  <si>
    <t>TOT_CAJ_PLA_M</t>
  </si>
  <si>
    <t>TOT_CAJ_PLA_T</t>
  </si>
  <si>
    <t>CARRETILLA</t>
  </si>
  <si>
    <t>Sat.</t>
  </si>
  <si>
    <t>Sat</t>
  </si>
  <si>
    <t>Personal teó. Nec.</t>
  </si>
  <si>
    <t>TRANSPALETA</t>
  </si>
  <si>
    <t>TRACTORA</t>
  </si>
  <si>
    <t>RETRACTIL</t>
  </si>
  <si>
    <t>RECURSOS TOTALES</t>
  </si>
  <si>
    <t>SUM_CAJ_8</t>
  </si>
  <si>
    <t>SUM_CAJ_35</t>
  </si>
  <si>
    <t>SUM_CAJ_80</t>
  </si>
  <si>
    <t>Vueltas suministro playa a premontaje (cada dos horas) 8-25 KG.</t>
  </si>
  <si>
    <t>SUM_PLA_8</t>
  </si>
  <si>
    <t>Vueltas suministro playa a premontaje (cada dos horas) 35-120 KG.</t>
  </si>
  <si>
    <t>SUM_PLA_RES</t>
  </si>
  <si>
    <t>Desplazamiento cajas desde la zona de salida hasta premontaje o línea 35-120</t>
  </si>
  <si>
    <t>CHA_SANTXO</t>
  </si>
  <si>
    <t>CHA_SANT_3D</t>
  </si>
  <si>
    <t>Cajas Totales almacén central</t>
  </si>
  <si>
    <t>TOT_CAJ</t>
  </si>
  <si>
    <t>Cajas a 40 máquinas 5-25 kg.</t>
  </si>
  <si>
    <t>Cajas a 2 máquinas 80-110 kg.</t>
  </si>
  <si>
    <t>Cajas a 8 máquinas 35-60 kg.</t>
  </si>
  <si>
    <t>CAJ_PIC_ERO_M</t>
  </si>
  <si>
    <t>Cajas desde Picking a Eroski TOTAL MAÑANA</t>
  </si>
  <si>
    <t>Cajas desde Picking a Eroski TOTAL TARDE</t>
  </si>
  <si>
    <t>CAJ_PIC_ERO_T</t>
  </si>
  <si>
    <t>Cajas desde almacén a Eroski TOTAL MAÑANA</t>
  </si>
  <si>
    <t>CAJ_ALM_ERO_M</t>
  </si>
  <si>
    <t>Cajas desde almacén a Eroski TOTAL TARDE</t>
  </si>
  <si>
    <t>CAJ_ALM_ERO_T</t>
  </si>
  <si>
    <t>CAJ_DES_ERO_M</t>
  </si>
  <si>
    <t>CAJ_DES_ERO_T</t>
  </si>
  <si>
    <t>Desubicación a Eroski por cajas MAÑANA</t>
  </si>
  <si>
    <t>Desubicación a Eroski por cajas TARDE</t>
  </si>
  <si>
    <t>CHA_SANT_2D</t>
  </si>
  <si>
    <t>MAQUINAS ELEVADORAS</t>
  </si>
  <si>
    <t>KIT_TOTAL_8</t>
  </si>
  <si>
    <t>Cantidad de Kits por cada suministro a la línea</t>
  </si>
  <si>
    <t>Cantidad de Kits por cada suministro a la línea 35-60</t>
  </si>
  <si>
    <t>Desplazamiento desde la Dobladora hasta el premontaje</t>
  </si>
  <si>
    <t>Coger caja llena y ubicarla en la estanteria</t>
  </si>
  <si>
    <t>Leer con Pistola la etiqueta de la caja de chapa y su ubicación en premontaje</t>
  </si>
  <si>
    <t>Desplazamiento desde el premontaje hasta la zona de cajas vacías de chapa</t>
  </si>
  <si>
    <t>Desplazamiento desde la zona de cajas vacías hasta la Dobladora</t>
  </si>
  <si>
    <t>Leo con la Pistola las etiquetas de las cajas de Chapa doblada</t>
  </si>
  <si>
    <t>Coger caja vacío y la dejo en el pallet</t>
  </si>
  <si>
    <t>Dejar las cajas vacías en el mini almacén de cajas vacías</t>
  </si>
  <si>
    <t>Dobladoras</t>
  </si>
  <si>
    <t>Cajas de Chapa despues de Dobladora 8 - 25 kg.</t>
  </si>
  <si>
    <t>Cajas de Chapa despues de Dobladora 35 - 60 kg.</t>
  </si>
  <si>
    <t>Cajas de Chapa despues de Dobladora 80 - 110 kg.</t>
  </si>
  <si>
    <t>Cajas por pallet en cada Dobladora (después de doblar)</t>
  </si>
  <si>
    <t>Pallets doblados 8 - 25 kg.</t>
  </si>
  <si>
    <t>CAJ_DOB_8</t>
  </si>
  <si>
    <t>CAJ_DOB_35</t>
  </si>
  <si>
    <t>CAJ_DOB_80</t>
  </si>
  <si>
    <t>PALL_8</t>
  </si>
  <si>
    <t>PALL_RESTO</t>
  </si>
  <si>
    <t>CAR_KIT_LLE_34</t>
  </si>
  <si>
    <t>Desplazamiento desde Dobladoras hasta premontajes/líneas 8-25 kg.</t>
  </si>
  <si>
    <t>Desplazamiento desde Dobladoras hasta premontajes/líneas 35-110 kg.</t>
  </si>
  <si>
    <t>Desplazamiento desde almacén vacíos caja chapa hasta Dobladora</t>
  </si>
  <si>
    <t>Recepción</t>
  </si>
  <si>
    <t>Trasvase</t>
  </si>
  <si>
    <t>Suministro</t>
  </si>
  <si>
    <t>Caminones de China al día</t>
  </si>
  <si>
    <t>Bultos de China por camión</t>
  </si>
  <si>
    <t>BUL_CHINA</t>
  </si>
  <si>
    <t>CAM_CHINA</t>
  </si>
  <si>
    <t>Porcentaje contenedor dañado CHINA</t>
  </si>
  <si>
    <t>QA_REC_CHI</t>
  </si>
  <si>
    <t>Datos NOOK en Recepción China</t>
  </si>
  <si>
    <t>MAT_NOOK_CHI</t>
  </si>
  <si>
    <t>MAT_NOOK_FCHI</t>
  </si>
  <si>
    <t>Recepción Material de China</t>
  </si>
  <si>
    <t>Leer etiqueta de Chapa y código del almacén (Dobladora)</t>
  </si>
  <si>
    <t>El sistema saca el pallet del almacén automático. Operario lee la etiqueta  del pallet para ver destino.</t>
  </si>
  <si>
    <t>Se sube a la máquina</t>
  </si>
  <si>
    <t>Coger Pallet sobrante con material para devolver al almacén automático</t>
  </si>
  <si>
    <t>Dejar pallet con material en el almacén automático</t>
  </si>
  <si>
    <t>Teclear sistema para su ubicación</t>
  </si>
  <si>
    <t>Desplazamiento hasta la ubicación en almacén</t>
  </si>
  <si>
    <t>Desplazamiento de ubicación a Recepcion</t>
  </si>
  <si>
    <t>Nº Apilador Auto.</t>
  </si>
  <si>
    <t>APILADOR</t>
  </si>
  <si>
    <t>Entrada de material. Los 90 son correctos!!!</t>
  </si>
  <si>
    <t>verificar</t>
  </si>
  <si>
    <t>Tipo</t>
  </si>
  <si>
    <t>chapa</t>
  </si>
  <si>
    <t>CHA_SANT_2D_AUT</t>
  </si>
  <si>
    <t>CHA_SANT_2D_EST</t>
  </si>
  <si>
    <t>Desplazamiento desde Recepción hasta la estanteria temporal</t>
  </si>
  <si>
    <t>Desplazamiento desde Recepción hasta la estanteria exterior</t>
  </si>
  <si>
    <t>Desplazamiento dentro del camión</t>
  </si>
  <si>
    <t>Dejar contenedor en su ubicación en Recepción</t>
  </si>
  <si>
    <t>Comprobar etiqueta contenedor contra albarán de Santxo (Ref y Cant)</t>
  </si>
  <si>
    <t>Comprobar el numero de bultos recepcionados respecto al albarán Santxo</t>
  </si>
  <si>
    <t>Desplazamiento hasta la zona recepción</t>
  </si>
  <si>
    <t>Bajarse de la carretilla</t>
  </si>
  <si>
    <t>Coger el contenedor</t>
  </si>
  <si>
    <t>Desplazamiento desde Recepción hasta la estanteria chapa temporal</t>
  </si>
  <si>
    <t>Dejar el contenedor en la estantería</t>
  </si>
  <si>
    <t>Leo etiqueta y genero ubicación</t>
  </si>
  <si>
    <t>Material chapa 2D directas a almacén automático</t>
  </si>
  <si>
    <t>Material chapa 2D grandes que se ubican fuera</t>
  </si>
  <si>
    <t>Coger material del almacén automático/exterior y dejarlo en dobladoras</t>
  </si>
  <si>
    <t>Operario mira en la pistola el destino de la chapa (automático o ubicación externa)</t>
  </si>
  <si>
    <t>Cuando la desubicación sea exterior, mirar en la pistola su origen</t>
  </si>
  <si>
    <t>Desplazarse hasta la extanteria exterior (o las interiores en el pasillo)</t>
  </si>
  <si>
    <t>Coger el pallet de la ubicación</t>
  </si>
  <si>
    <t>Desplazarse desde la estanteria exterior hasta la dobladora</t>
  </si>
  <si>
    <t>Cojo el contenedor consumido</t>
  </si>
  <si>
    <t>Desplazamiento hasta la estanteria exterior</t>
  </si>
  <si>
    <t>Ubicar contenedor consumido en estanteria exterior</t>
  </si>
  <si>
    <t>Desplazamiento desde el almacén exterior hasta la dobladora</t>
  </si>
  <si>
    <t xml:space="preserve">Cojo el palet </t>
  </si>
  <si>
    <t>Dejo el palet/caja en el suelo</t>
  </si>
  <si>
    <t>Suministro desde Dobladora hasta Premontaje L3</t>
  </si>
  <si>
    <t>Suministro desde Dobladora hasta Premontaje L2</t>
  </si>
  <si>
    <t>Suministro desde Dobladora hasta Premontaje L1</t>
  </si>
  <si>
    <t>Ventas L1</t>
  </si>
  <si>
    <t>Ventas L2</t>
  </si>
  <si>
    <t>Ventas L3</t>
  </si>
  <si>
    <t>Cajas de chapa 2D que van solo a dobladora</t>
  </si>
  <si>
    <t>Cajas de chapa 2D que pasan por dobladora, prensa, 3D…</t>
  </si>
  <si>
    <t>Cajas de chapa 2D que van solo a Dobladora</t>
  </si>
  <si>
    <t>Dejar contenedor en su zona correspondiente (frente a las estanterias)</t>
  </si>
  <si>
    <t>CHA_MUL_3D</t>
  </si>
  <si>
    <t>Coger Chapa de máquina chapa con retractil</t>
  </si>
  <si>
    <t>Desplazmiento hasta las estanterias</t>
  </si>
  <si>
    <t>Desplazamiento desde estanterias hasta la zona de chapa 3D</t>
  </si>
  <si>
    <t>Desplazamiento desde estanterias hasta la zona ubicación material chapa (multi)</t>
  </si>
  <si>
    <t>Ubicar caja en su posición (ubicación 1)</t>
  </si>
  <si>
    <t>Suministro de Armazones desde almacén automático hasta Armazones</t>
  </si>
  <si>
    <t>DES_PAL_PIC</t>
  </si>
  <si>
    <t>Pallets desde almacén central a Picking (solo para ref. 8-22 kg - solo un %, no entra todo)</t>
  </si>
  <si>
    <t>Cajas a desubicar (8 - 22 Kg)</t>
  </si>
  <si>
    <t>Cajas a desubicar (28 - 60 kg)</t>
  </si>
  <si>
    <t>Al haber poco espacio, solo metemos las piezas de la Línea 1</t>
  </si>
  <si>
    <t>Desplazamiento desde la ubicación en almacén central hasta posición picking en almacén</t>
  </si>
  <si>
    <t>Desplazamiento desde almacén central hasta Recepciones (ida y vuelta)</t>
  </si>
  <si>
    <t>Cajas a desubicar (8 - 120 kg) en almacén central sin bajar a picking</t>
  </si>
  <si>
    <t>Cajas a desubicar (8 - 22 kg) en almacén central en picking (cogemos del suelo)</t>
  </si>
  <si>
    <t>Cojo pallet amarillo</t>
  </si>
  <si>
    <t>Desplazamiento desde almacén central hasta el pallet amarillo (para hacer desubicación de cajas. Ida y vuelta)</t>
  </si>
  <si>
    <t>Verificar en la pistola las referencias a desubicar</t>
  </si>
  <si>
    <t>Desplazamiento desde el almacén central hasta la ubicación de la referencia</t>
  </si>
  <si>
    <t>MAT. AIRE. Dejo el pallet amarillo a un lado</t>
  </si>
  <si>
    <t>Desubico el pallet de la referencia</t>
  </si>
  <si>
    <t>Cojo la caja de la referencia y la dejo en el pallet amarillo</t>
  </si>
  <si>
    <t>Ubico el pallet de la referencia en su ubicación</t>
  </si>
  <si>
    <t>Leo la etiqueta de la referencia para verificar que está desubicada</t>
  </si>
  <si>
    <t>Cojo el pallet amarillo de desubicación</t>
  </si>
  <si>
    <t>MAT. SUELO. Cojo la caja de la referencia y la dejo en el pallet amarillo</t>
  </si>
  <si>
    <t>Lectura código de barras para verificar su desubicación</t>
  </si>
  <si>
    <t>Dejo el pallet amarillo en la playa</t>
  </si>
  <si>
    <t>Desplazamiento desde el almacén central hasta la playa de salida del material. Ida y vuelta</t>
  </si>
  <si>
    <t>Viajes para desubicar las cajas de componentes</t>
  </si>
  <si>
    <t>6 veces al día desubicamos el material componentes</t>
  </si>
  <si>
    <t>VIA_DES</t>
  </si>
  <si>
    <t>Desplazamiento desde almacén hasta la playa componentes</t>
  </si>
  <si>
    <t>Cajas totales a desubivar (8 - 120 Kg.)</t>
  </si>
  <si>
    <t>CAJ_DES</t>
  </si>
  <si>
    <t>Desplazamiento desde almacén central hasta su ubicación</t>
  </si>
  <si>
    <t>Algunas estarán lejos otras cerca</t>
  </si>
  <si>
    <t>CAJ_DES_PICK</t>
  </si>
  <si>
    <t>CAJ_DES_AIRE</t>
  </si>
  <si>
    <t>L1</t>
  </si>
  <si>
    <t>L2</t>
  </si>
  <si>
    <t>L3</t>
  </si>
  <si>
    <t>Desubicación desde almacén (caótico) a Picking (zona fija) 8 - 120 Kg. Almacen caótico &gt; Almacén Picking</t>
  </si>
  <si>
    <t>Desubicar China del Almacén central hacía premontajes. Almacén &gt; Playa</t>
  </si>
  <si>
    <t>Mirar en pistola siguiente referencia a desubicar</t>
  </si>
  <si>
    <t>Desplazamiento dentro del almacén central</t>
  </si>
  <si>
    <t>Coger contenedor de la estanteria</t>
  </si>
  <si>
    <t>Lectura etiqueta para verificar que está desubicado</t>
  </si>
  <si>
    <t>Desplazamiento desde almacén central hasta la playa</t>
  </si>
  <si>
    <t>Dejar el contenedor en la playa de salida</t>
  </si>
  <si>
    <t>Desplazamiento desde playa hasta el almacén central</t>
  </si>
  <si>
    <t>CHA_TERM</t>
  </si>
  <si>
    <t>Consumo día cajas de CHINA desde almacén central</t>
  </si>
  <si>
    <t>Consumo día cajas de CHINA desde almacén AUTOMATICO</t>
  </si>
  <si>
    <t>Consumo día cajas CHINA desde almacén central</t>
  </si>
  <si>
    <t>Consumo día cajas CHINA desde almacén AUTOMATICO</t>
  </si>
  <si>
    <t>Verificar hipótesis de consumo</t>
  </si>
  <si>
    <t>CHI_AUTO</t>
  </si>
  <si>
    <t>CHI_ALM</t>
  </si>
  <si>
    <t>Mirar pistola siguiente referencia a desubicar</t>
  </si>
  <si>
    <t>Desplazamiento desde almacén central hasta ubicación</t>
  </si>
  <si>
    <t>Coger el contenedor (posible mover algún otro)</t>
  </si>
  <si>
    <t>Lectura etiqueta contenedor para verificar desubicación</t>
  </si>
  <si>
    <t>Desplazamiento desde ubicación hasta la playa de salida</t>
  </si>
  <si>
    <t>Desplazamiento desde playa de salida hasta el almacén</t>
  </si>
  <si>
    <t>Coger la caja de china del almacén automático</t>
  </si>
  <si>
    <t>Desplazamiento desde almacén automático hasta playa de salida</t>
  </si>
  <si>
    <t>Dejar el contenedor en playa de salida</t>
  </si>
  <si>
    <t>Desplazamiento desde playa de salida hasta el almacén automático</t>
  </si>
  <si>
    <t>Asignación de Recursos</t>
  </si>
  <si>
    <t>Per. Teo.</t>
  </si>
  <si>
    <t>Per. Real</t>
  </si>
  <si>
    <t>Trasvase material</t>
  </si>
  <si>
    <t>Ubicación / Desubicación</t>
  </si>
  <si>
    <t>Cajas 8 - 22 Kg. Playa</t>
  </si>
  <si>
    <t>Cajas 28 - 80 Kg. Playa</t>
  </si>
  <si>
    <t>SUM_PALLET</t>
  </si>
  <si>
    <t>Cantidad de cajas que metemos en un pallet de suministro a los premontajes</t>
  </si>
  <si>
    <t>Desplazamiento desde la playa hasta los premontages Línea 1 y Linea 2</t>
  </si>
  <si>
    <t>Pallets (carros?) desde playa hasta premontajes Linea 1/Linea 2</t>
  </si>
  <si>
    <t>Enganchar la tractora en el carro de suministro</t>
  </si>
  <si>
    <t>Verificar cajas a suministrar</t>
  </si>
  <si>
    <t>Lectura primera etiqueta a suministrar</t>
  </si>
  <si>
    <t>Coger caja llena y dejarla en la estanteria</t>
  </si>
  <si>
    <t>Desplazamiento desde el carro de suministro hasta la estanteria de premontage (no hay sitio para carro)</t>
  </si>
  <si>
    <t>Desplazamiento por premontajes Linea 1 y Linea 2 (dejando la tractora en las cabezeras)</t>
  </si>
  <si>
    <t>Lectura etiqueta caja contra estanteria</t>
  </si>
  <si>
    <t>SUMINISTRO LINEAS DE PREMONTAJE Y PETICIÓN KANBAN</t>
  </si>
  <si>
    <t>Lectura. Si hay hueco vacio, leo con la pistola el cóidgo de barras</t>
  </si>
  <si>
    <t>KLTs internos en trasvase para cajas</t>
  </si>
  <si>
    <t>KLT_VAC</t>
  </si>
  <si>
    <t>KLT trasvasados en trasvase</t>
  </si>
  <si>
    <t>Desplazamiento andando a dejar las cajas llenas</t>
  </si>
  <si>
    <t>CHINA desde playa de salida hasta los premontajes L1/L2</t>
  </si>
  <si>
    <t>CHA_SUM</t>
  </si>
  <si>
    <t>Cantidad de bultos que llevamos en la carretilla cuando suministramos CHAPA desde almacén central a premontaje</t>
  </si>
  <si>
    <t>Cantidad de envios de CHAPA desde almacén central hasta premontajes</t>
  </si>
  <si>
    <t>Lectura etiquetas a suministrar</t>
  </si>
  <si>
    <t>Desplazamiento desde playa hasta premontajes por CHAPA en almacén central</t>
  </si>
  <si>
    <t>CHA_SUM_BUL</t>
  </si>
  <si>
    <t>Dejar cajas en el suelo</t>
  </si>
  <si>
    <t>Coger caja vacia de la estanteria y dejarla en el suelo</t>
  </si>
  <si>
    <t>Coger caja llena del suelo y ubicarla en la estantería</t>
  </si>
  <si>
    <t>Dejar ambas cajas en el suelo</t>
  </si>
  <si>
    <t>Coger la caja llena y ubicarla en la estantería</t>
  </si>
  <si>
    <t>Lectura etiqueta de la caja y ver destino premontaje</t>
  </si>
  <si>
    <t>Coger caja de la playa</t>
  </si>
  <si>
    <t>Dejar caja llena a un lado de su ubicación</t>
  </si>
  <si>
    <t>Coger caja vacia de la ubicación y dejarla a un lado</t>
  </si>
  <si>
    <t>Coger la caja llena y ubicarla en su ubicación</t>
  </si>
  <si>
    <t>Desplazamiento desde la playa de salida hasta los premontages</t>
  </si>
  <si>
    <t>Desplazamiento desde playa hasta premontajes por CHINA</t>
  </si>
  <si>
    <t>China</t>
  </si>
  <si>
    <t>Metido a ojo. Verificar esta cantidad</t>
  </si>
  <si>
    <t>Cajas grandes (estrellas, poleas, soporte rodamiento….)</t>
  </si>
  <si>
    <t>Cajas de china que van en cajas sueltas (pallet en almacén central, tuberias electroválvulas)</t>
  </si>
  <si>
    <t>CHI_GRA_SUM</t>
  </si>
  <si>
    <t>CHI_PEQ_SUM</t>
  </si>
  <si>
    <t>Cajas grandes (estrellas, poleas, soporte rodamiento….) VACIA</t>
  </si>
  <si>
    <t>CHI_VAC_REC</t>
  </si>
  <si>
    <t>Desplazamiento desde la ubicación en premontaje hasta el compactadora</t>
  </si>
  <si>
    <t>Desplazamiento desde premontaje hasta compactadora CHINA</t>
  </si>
  <si>
    <t>CHI_GRA_SUM2</t>
  </si>
  <si>
    <t>Desplazamiento desde compactadora hasta playa de salida</t>
  </si>
  <si>
    <t>para otro línea en proceso. Es mimos volumen</t>
  </si>
  <si>
    <t>CHI_L3</t>
  </si>
  <si>
    <t>Cajas 8 - 120 Kg. Playa</t>
  </si>
  <si>
    <t>CHAPA desde la playa de salida hasta los premontajes Todo</t>
  </si>
  <si>
    <t>Cajas desde Playa hasta premontajes/eroski L1/L2</t>
  </si>
  <si>
    <t>SUM_CAJ_L1-2</t>
  </si>
  <si>
    <t>Desplazamiento desde la playa de salida hasta Línea 3</t>
  </si>
  <si>
    <t>Dejar la caja llena en su ubicación</t>
  </si>
  <si>
    <t>Desplazamiento desde la playa de salida hasta Linea 3</t>
  </si>
  <si>
    <t>Coger caja vacía y echarla al compactador</t>
  </si>
  <si>
    <t>Desplazamiento desde el compactador hasta la playa de salida</t>
  </si>
  <si>
    <t>Coger la caja vacia y dejarla en el compactador</t>
  </si>
  <si>
    <t>Cajas de China en Línea 3</t>
  </si>
  <si>
    <t>SUM_CHI_L3</t>
  </si>
  <si>
    <t>Cajas totales de china para Línea 3</t>
  </si>
  <si>
    <t>Suministros de Cajas y China a Línea 3</t>
  </si>
  <si>
    <t>CHI_SUM_L3</t>
  </si>
  <si>
    <t>Lectura etiqueta de la caja y el código de barras de la ubicación en premontaje</t>
  </si>
  <si>
    <t>Lectura Kanban. Lectura código de barras de la ubicación para pedir kanban</t>
  </si>
  <si>
    <t>Leer etiqueta de Chapa y ubicar en el almacén</t>
  </si>
  <si>
    <t>Cajas componentes y CHINA desde Playa de salida hasta Linea 3. SOLO MAÑANA</t>
  </si>
  <si>
    <t>Würth desde zona de salida hasta premontajes/Línea 1</t>
  </si>
  <si>
    <t>Würth desde zona de salida hasta premontajes/Línea L2/L3</t>
  </si>
  <si>
    <t>Máquinas 8 - 22</t>
  </si>
  <si>
    <t>Máquinas 28 - 60</t>
  </si>
  <si>
    <t>Máquinas 60 - 120</t>
  </si>
  <si>
    <t>Maquínas fabricadas L1</t>
  </si>
  <si>
    <t>Máquinas frabicadas L2</t>
  </si>
  <si>
    <t>Máquinas frabicadas L3</t>
  </si>
  <si>
    <t>Es una media por cada carro</t>
  </si>
  <si>
    <t>REF_CAR_KIT1</t>
  </si>
  <si>
    <t>REF_CAR_KIT2</t>
  </si>
  <si>
    <t>PUES_L1</t>
  </si>
  <si>
    <t>Comprobar que se pueden llevar dos juntos !!!</t>
  </si>
  <si>
    <t>Puestos en Línea 1</t>
  </si>
  <si>
    <t>Puestos en Línea 2</t>
  </si>
  <si>
    <t>PUES_L2</t>
  </si>
  <si>
    <t>PIE_EROS_L1</t>
  </si>
  <si>
    <t>PIE_EROS_L2</t>
  </si>
  <si>
    <t>Eroski</t>
  </si>
  <si>
    <t>Conjuntos premon.</t>
  </si>
  <si>
    <t>Conjuntos premontaje L2 por máquina</t>
  </si>
  <si>
    <t>Conjuntos premontaje L1 por máquina</t>
  </si>
  <si>
    <t>CONJ_PREM_L1</t>
  </si>
  <si>
    <t>CONJ_PREM_L2</t>
  </si>
  <si>
    <t>Conjuntos premontaje L1 Totales</t>
  </si>
  <si>
    <t>Conjuntos premontaje L2 Totales</t>
  </si>
  <si>
    <t>CONJ_TOT_L1</t>
  </si>
  <si>
    <t>CONJ_TOT_L2</t>
  </si>
  <si>
    <t>Kits totales de premontaje a las líneas (total día) Línea 1</t>
  </si>
  <si>
    <t>Kits totales de premontaje a las líneas (total día) Línea 2</t>
  </si>
  <si>
    <t>KIT_TOTAL_L2</t>
  </si>
  <si>
    <t>KIT_TOTAL_L1</t>
  </si>
  <si>
    <t>Carro suministrado L1 día</t>
  </si>
  <si>
    <t>CAR_SUM_L1</t>
  </si>
  <si>
    <t>Carro suministrado L2 día</t>
  </si>
  <si>
    <t>CAR_SUM_L2</t>
  </si>
  <si>
    <t>OTROS PROCESOS</t>
  </si>
  <si>
    <t>Carros llevados de dos en dos (lo dividimos entre dos) L1</t>
  </si>
  <si>
    <t>Carros llevados de dos en dos (lo dividimos entre dos) L2</t>
  </si>
  <si>
    <t>SUM_CARRO_L1</t>
  </si>
  <si>
    <t>SUM_CARRO_L2</t>
  </si>
  <si>
    <t>Desplazamiento desde montaje hasta la tractora</t>
  </si>
  <si>
    <t>Engancho carro en tractora</t>
  </si>
  <si>
    <t>Me subo a la tractora</t>
  </si>
  <si>
    <t>Me bajo de la tractora</t>
  </si>
  <si>
    <t>Dejo los dos carros vaciós</t>
  </si>
  <si>
    <t>Desplazamiento desde la zona de vacíos hasta la zona de carros llenos</t>
  </si>
  <si>
    <t>Engancho los dos carros llenos a la tractora</t>
  </si>
  <si>
    <t>Ubico los dos carros en su ubicación en montaje</t>
  </si>
  <si>
    <t>Desplazamiento hasta el siguiente puesto</t>
  </si>
  <si>
    <t>Desplazamiento desde la tractora hasta los premontajes</t>
  </si>
  <si>
    <t>Coger el conjunto y dejarlo en el carro</t>
  </si>
  <si>
    <t>Siguientes referencias a secuenciar (por máquina)</t>
  </si>
  <si>
    <t>Cojo pieza de la estanteria</t>
  </si>
  <si>
    <t>Lectura etiqueta en la estanteria para verificar</t>
  </si>
  <si>
    <t>Dejo pieza en el carro</t>
  </si>
  <si>
    <t>Madera</t>
  </si>
  <si>
    <t>1 Base por máquina</t>
  </si>
  <si>
    <t>Bases L1</t>
  </si>
  <si>
    <t>BAS_L1</t>
  </si>
  <si>
    <t>Bases L2 y L3</t>
  </si>
  <si>
    <t>BAS_L2/3</t>
  </si>
  <si>
    <t>20% van a 20 piezas el pallet y 80% van a 200 piezas el pallet</t>
  </si>
  <si>
    <t>MAD_L1</t>
  </si>
  <si>
    <t>Maderas L2/L3 son 5 diferentes pero a 3 pallets</t>
  </si>
  <si>
    <t>Maderas L1. son 5 diferentes pero en 2 pallets</t>
  </si>
  <si>
    <t>MAD_L2/L3</t>
  </si>
  <si>
    <t>SAT</t>
  </si>
  <si>
    <t>Verifico en movil la desubicación de madera</t>
  </si>
  <si>
    <t>Bases para L1</t>
  </si>
  <si>
    <t>Bases para L2</t>
  </si>
  <si>
    <t>Bases para L3</t>
  </si>
  <si>
    <t>Cantidad de piezas que llevamos en cada viaje de Bases</t>
  </si>
  <si>
    <t>Bultos día Bases L1</t>
  </si>
  <si>
    <t>Bultos día Bases L2</t>
  </si>
  <si>
    <t>Bultos día Bases L3</t>
  </si>
  <si>
    <t>Bultos totales madera L1</t>
  </si>
  <si>
    <t>Bultos totales madera L2</t>
  </si>
  <si>
    <t>BUL_MAD_L1</t>
  </si>
  <si>
    <t>BUL_MAD_L2/3</t>
  </si>
  <si>
    <t>Desplazamiento desde premontaje hasta zona de madera (ida y vuelta)</t>
  </si>
  <si>
    <t>Coger bulto de madera</t>
  </si>
  <si>
    <t>Dejar pallet en un lado del premontaje</t>
  </si>
  <si>
    <t>Coger pallet vacio y dejarlo a un lado</t>
  </si>
  <si>
    <t>Coger pallet lleno y ubicarlo en premontaje</t>
  </si>
  <si>
    <t>Verificar desubicación en movil</t>
  </si>
  <si>
    <t>Suministro MADERA a Premontaje (altas y bajas) L1</t>
  </si>
  <si>
    <t>Suministro MADERA a Premontaje (altas y bajas) L2/3</t>
  </si>
  <si>
    <t>Coger pallet armazones del almacén automático</t>
  </si>
  <si>
    <t>Desplazamiento desde el almacén automático hasta Armazones</t>
  </si>
  <si>
    <t>Dejar el pallet en su ubicación en Armazones</t>
  </si>
  <si>
    <t>% Bajas</t>
  </si>
  <si>
    <t>Armazones</t>
  </si>
  <si>
    <t>Piezas por máquina (armazones)</t>
  </si>
  <si>
    <t>Bultos de armazones L1</t>
  </si>
  <si>
    <t>Bultos de armazones L2</t>
  </si>
  <si>
    <t>Piezas media en cada pallet de armazones</t>
  </si>
  <si>
    <t>Cajas movidas día en Armazones (Bajas)</t>
  </si>
  <si>
    <t>ARM_BAJ</t>
  </si>
  <si>
    <t>Número de vueltas por día para recoger SAT</t>
  </si>
  <si>
    <t>Cajas a recoger SAT al día</t>
  </si>
  <si>
    <t>Chequeo en pantalla de carretilla para SAT</t>
  </si>
  <si>
    <t>Coger la pieza y dejarla en el pallet</t>
  </si>
  <si>
    <t>Dejar el pallet en Recepción</t>
  </si>
  <si>
    <t>Cojo pallet vacío de Recepción</t>
  </si>
  <si>
    <t>SAT_REC</t>
  </si>
  <si>
    <t>Desplazamiento a la primera ubicación para coger la pieza SAT</t>
  </si>
  <si>
    <t>PIE_SAT</t>
  </si>
  <si>
    <t>Revisar</t>
  </si>
  <si>
    <t>RECURSOS TOTALES LOGISTICOS PLANTA 0</t>
  </si>
  <si>
    <t>Desplazamiento hasta el camión</t>
  </si>
  <si>
    <t>Lectura etiqueta de caja</t>
  </si>
  <si>
    <t>Armazones bajas L1 y L2</t>
  </si>
  <si>
    <t>ARM_BAJ_MAQ</t>
  </si>
  <si>
    <t>Coger armazón bajas</t>
  </si>
  <si>
    <t>Desplazamiento desde armazones hasta las estanterias exteriores</t>
  </si>
  <si>
    <t>Ubicar armazón en la estanteria</t>
  </si>
  <si>
    <t>Suministro armazones bajas desde armazones hasta estanteria exterior</t>
  </si>
  <si>
    <t>Suministro de armazones desde estantería exterior hasta premontaje bajas</t>
  </si>
  <si>
    <t>Lectura con la pistola el armazón a desubicar</t>
  </si>
  <si>
    <t>Desplazamiento desde Chapa hasta la estanteria exterior de armazones</t>
  </si>
  <si>
    <t>Desplazamiento desde la estanteria hasta el premontaje de bajas</t>
  </si>
  <si>
    <t>Coger el armazón de la estanteria</t>
  </si>
  <si>
    <t>Dejar el armazón en el premontaje</t>
  </si>
  <si>
    <t>Coger máquina de L3 y sacar a la calle</t>
  </si>
  <si>
    <t>Coger zocalos y KITs y meterlos en ascensor</t>
  </si>
  <si>
    <t>Desplazamiento hasta el primer punto de reciclaje cartón</t>
  </si>
  <si>
    <t>Coger el contenedor residuo</t>
  </si>
  <si>
    <t>Desplazamiento desde esa ubicación hasta el compactador</t>
  </si>
  <si>
    <t>Echar residuo en el compactador</t>
  </si>
  <si>
    <t>Dejar contenedor de residuo en la ubicación</t>
  </si>
  <si>
    <t>Residuos</t>
  </si>
  <si>
    <t>Contenedores de residuos que muevo al día</t>
  </si>
  <si>
    <t>REC_CAR</t>
  </si>
  <si>
    <t>Reciclaje</t>
  </si>
  <si>
    <t>Reciclaje del material desechable (cartón)</t>
  </si>
  <si>
    <t>Coger la máquina de la línea</t>
  </si>
  <si>
    <t>Desplazamiento hasta la línea</t>
  </si>
  <si>
    <t>Desplazamiento desde la línea hasta el elevador</t>
  </si>
  <si>
    <t>Dejar máquina en el elevador</t>
  </si>
  <si>
    <t>Coger componentes desubicados en playa de salida y ordenarlos para suministro ordenado a línea L1/L2</t>
  </si>
  <si>
    <t>Leer cada etiqueta para saber el premontaje destino</t>
  </si>
  <si>
    <t>Coger caja</t>
  </si>
  <si>
    <t>Dejar caja en su balda correspondiente</t>
  </si>
  <si>
    <t>Máquinas L1</t>
  </si>
  <si>
    <t>Máquinas L2</t>
  </si>
  <si>
    <t>Máquinas L3</t>
  </si>
  <si>
    <t>MAQ_L1</t>
  </si>
  <si>
    <t>MAQ_L2</t>
  </si>
  <si>
    <t>MAQ_L3</t>
  </si>
  <si>
    <t>Máquinas L2 y 60/80 Altas</t>
  </si>
  <si>
    <t>MAQ_ELE</t>
  </si>
  <si>
    <t>Coger bulto de Zócalos o KITs y llevarlos al ascensor</t>
  </si>
  <si>
    <t>Dejar bulto en ascensor</t>
  </si>
  <si>
    <t>Desplazamientos hasta los zócalos/KITs</t>
  </si>
  <si>
    <t>Dar botón ascensor</t>
  </si>
  <si>
    <t>Zócalos/KITS</t>
  </si>
  <si>
    <t xml:space="preserve">Bultos de zócalos y KITs </t>
  </si>
  <si>
    <t>ZOC_ELE</t>
  </si>
  <si>
    <t>Verificar</t>
  </si>
  <si>
    <t>Desplazamiento hasta embalaje L3</t>
  </si>
  <si>
    <t>Desplazamiento hasta el exterior para coger la máquina grande (toro)</t>
  </si>
  <si>
    <t>Coger máquina</t>
  </si>
  <si>
    <t>Desplazamiento hasta su ubicación en el exterior</t>
  </si>
  <si>
    <t>Dejar máquina en su ubicación</t>
  </si>
  <si>
    <t>Dejar máquina grande en el exterior</t>
  </si>
  <si>
    <t>Subirse a la máquina normal</t>
  </si>
  <si>
    <t>Desplazamiento hasta elevador</t>
  </si>
  <si>
    <t>Cambio de máquina</t>
  </si>
  <si>
    <t>PERSONAS</t>
  </si>
  <si>
    <t>CARRET.</t>
  </si>
  <si>
    <t>TRANS.</t>
  </si>
  <si>
    <t>TRACT.</t>
  </si>
  <si>
    <t>RETRAC.</t>
  </si>
  <si>
    <t>Coger máquina de L2/L3 para llevar a montacargas</t>
  </si>
  <si>
    <t>Desplazamiento hasta Harrera</t>
  </si>
  <si>
    <t>Coger contenedor de cartón</t>
  </si>
  <si>
    <t>Desplazamiento hasta almacén central</t>
  </si>
  <si>
    <t>Residuo cartón en Harrera</t>
  </si>
  <si>
    <t>CAR_HAR</t>
  </si>
  <si>
    <t>Desplazamiento desde harrera hasta compactador</t>
  </si>
  <si>
    <t>Desplazamiento hasta el montacargas</t>
  </si>
  <si>
    <t>Desplazamiento desde montacargas hasta el almacén central</t>
  </si>
  <si>
    <t>Dejar pallet en su ubicación</t>
  </si>
  <si>
    <t>Desplazamiento desde almacén central hasta montacargas</t>
  </si>
  <si>
    <t>Lectura pistola para saber ubicación en almacén</t>
  </si>
  <si>
    <t>Inventado</t>
  </si>
  <si>
    <t>UBICACIÓN/DESUBICACIÓN</t>
  </si>
  <si>
    <t>Enganchar las cajas de chapa</t>
  </si>
  <si>
    <t>Coger ambas cajas vacías y dejarlas la zona de cajas vacías (en la parte de arriba)</t>
  </si>
  <si>
    <t>Desplazamiento desde playa de salida hasta premontajes (pasando por chapa para dejar vacías)</t>
  </si>
  <si>
    <t>Desplazamiento desde almacén central hasta mecanizado L1/L2</t>
  </si>
  <si>
    <t>Emvolventes</t>
  </si>
  <si>
    <t>ENV_MEC</t>
  </si>
  <si>
    <t>CAR_ENV</t>
  </si>
  <si>
    <t>Piezas de envolventes L1/L2/L3</t>
  </si>
  <si>
    <t>Carros secuenciados de envolventes</t>
  </si>
  <si>
    <t>Coger contenedor vacío de mecanizado</t>
  </si>
  <si>
    <t>Coger contenedor lleno de envolventes de almacén central</t>
  </si>
  <si>
    <t>Desplazamiento desde mecanizado L1/L2 hasta almacén central</t>
  </si>
  <si>
    <t>Tambor y cuba</t>
  </si>
  <si>
    <t>Dejar contenedor vació en almacén central</t>
  </si>
  <si>
    <t>Desplazamiento desde Recepciones hasta Tubos (ida y vuelta)</t>
  </si>
  <si>
    <t>Tubos</t>
  </si>
  <si>
    <t>Cajas para Tubos directamente (desde Recepciones)</t>
  </si>
  <si>
    <t>REC_TUB</t>
  </si>
  <si>
    <t>Producto acabado de Tubos para Santxo y producto terminado</t>
  </si>
  <si>
    <t>Coger pallet acabado de Tubos</t>
  </si>
  <si>
    <t>Desplazamiento entre Tubos y montacargas</t>
  </si>
  <si>
    <t>Dejar pallet terminado en montacargas</t>
  </si>
  <si>
    <t>Desplazamiento entre Tubos y Recepciones</t>
  </si>
  <si>
    <t>Dejar pallet terninado en Recepciones</t>
  </si>
  <si>
    <t>Producto terminado Tubos para Producto Terminado (Arriba)</t>
  </si>
  <si>
    <t>Dejamos 3 en Lavandería</t>
  </si>
  <si>
    <t>TUB_SAN</t>
  </si>
  <si>
    <t>TUB_PT</t>
  </si>
  <si>
    <t>Verificar en Pistola envolventes a secuenciar</t>
  </si>
  <si>
    <t>Secuenciado de envolventes</t>
  </si>
  <si>
    <t>Coger envolvente y dejarlo en el carro</t>
  </si>
  <si>
    <t>Verificar Pistola secuencia hecha</t>
  </si>
  <si>
    <t>Movimiento carro por zona envolventes</t>
  </si>
  <si>
    <t>Coger máquina L2 y llevarla a Calidad</t>
  </si>
  <si>
    <t>Calidad</t>
  </si>
  <si>
    <t>Máquina L2 para Calidad</t>
  </si>
  <si>
    <t>CAL_L2</t>
  </si>
  <si>
    <t>Máquinas Producto Terminado (las usa CEVA pero son de Fagor)</t>
  </si>
  <si>
    <t>Llevar envolventes a mecanizado</t>
  </si>
  <si>
    <t>Ubicar cajas de Proveedor desde Recepciones (Proveedor + Chapa 3D+China almacén central)</t>
  </si>
  <si>
    <t>Leer etiqueta de Chapa y generar ubicación en almacén central</t>
  </si>
  <si>
    <t>Coger contenedor de chapa</t>
  </si>
  <si>
    <t>Mover contenedores chapa 2D entre diferentes máquinas de Chapa (dobladora, 3D, prensa…)</t>
  </si>
  <si>
    <t>Verificar en el listado la orden de producción</t>
  </si>
  <si>
    <t>Coger la transpaleta</t>
  </si>
  <si>
    <t>Coger el contenedor con el material</t>
  </si>
  <si>
    <t>Desplazamiento hasta la máquina (ida y vuelta)</t>
  </si>
  <si>
    <t>Dejar el material en su ubicación</t>
  </si>
  <si>
    <t>Mirado en datos del 24/09/2024</t>
  </si>
  <si>
    <t>Coger piezas de SAT del almacén central</t>
  </si>
  <si>
    <t>Desplazamiento desde almacén central hasta Recepciones</t>
  </si>
  <si>
    <t>Dejar pallet SAT en Recepciones</t>
  </si>
  <si>
    <t>Cajas completas de SAT</t>
  </si>
  <si>
    <t>CAJ_SAT_1</t>
  </si>
  <si>
    <t>Recepción material de Chapa 3D/2D finalizado</t>
  </si>
  <si>
    <t>Modificar líneas que no hay piezas o cambio cantidad en ref a coger</t>
  </si>
  <si>
    <t>Líneas del pedido de SAT para coger piezas que elemino o cambio cantidad</t>
  </si>
  <si>
    <t>ELI_SAT</t>
  </si>
  <si>
    <t>Chatarra</t>
  </si>
  <si>
    <t>LOGISTICA EN PRODUCTO TERMINADO (ARRIBA)</t>
  </si>
  <si>
    <t>Bultos de cajas vacías de Chapa en almacén automático</t>
  </si>
  <si>
    <t>CHA_AUT_VAC</t>
  </si>
  <si>
    <t>china</t>
  </si>
  <si>
    <t>sat</t>
  </si>
  <si>
    <t>Coger la caja vacia y el lleno y desplazarse al siguiente puesto</t>
  </si>
  <si>
    <t>Se sacan del envío de Gojain a planta de las referencias asignadas al almacén automático Garibai + una semana petición de Katea automático</t>
  </si>
  <si>
    <t>Coger cerco vacío de Dobladora</t>
  </si>
  <si>
    <t>Desplazamiento desde Dobladoras hasta Residuos (ida y vuelta)</t>
  </si>
  <si>
    <t>Dejar cerco en su ubicación en Residuos</t>
  </si>
  <si>
    <t>Cambiar a carretilla pequeña?????</t>
  </si>
  <si>
    <t>Dejo los dos carros vacíos</t>
  </si>
  <si>
    <t>Alimentador de Dobladoras y vacíos chapa</t>
  </si>
  <si>
    <t>Suministrador carros secuencia a línea 1/2</t>
  </si>
  <si>
    <t>Pickinero Eroski</t>
  </si>
  <si>
    <t>Desplazamiento hasta la zona de vaciós de chapa (Residuos)</t>
  </si>
  <si>
    <t>Cojo varios vacíos a la vez</t>
  </si>
  <si>
    <t>Cargo varios vaciós a la vez en el camión</t>
  </si>
  <si>
    <t>Bultos de cercos vacíos para meter en camión (de vuelta)</t>
  </si>
  <si>
    <t>BUL_VAC</t>
  </si>
  <si>
    <t>Recepción material de chapa 2D tamaño grande (no entra en almacén automático) y carga de vacíos chapa</t>
  </si>
  <si>
    <t>Armazones que ubicamos en almacén central (cogemos montacargas)</t>
  </si>
  <si>
    <t>ARM_ALM</t>
  </si>
  <si>
    <t>Coger el pallet de Armazones</t>
  </si>
  <si>
    <t xml:space="preserve">Recepción material de Chapa 2D arriba </t>
  </si>
  <si>
    <t>Coger contenedor de chapa (ubicada en el suelo delante del almacén automático</t>
  </si>
  <si>
    <t>Lectura con la pistola de la etiqueta del palet</t>
  </si>
  <si>
    <t>Desplazamiento entre la línea y recepciones</t>
  </si>
  <si>
    <t>Dejar contenedor en Recepción</t>
  </si>
  <si>
    <t>Coger contenedor rechazado en línea</t>
  </si>
  <si>
    <t>Error galibo. Coger contenedor</t>
  </si>
  <si>
    <t>Carga de contenedor en el camión (Puede que este contenedor se meta en otro pallet esclavo allí)</t>
  </si>
  <si>
    <t>Pallets rechazados por Galibo</t>
  </si>
  <si>
    <t>CHA_SANT_RECH</t>
  </si>
  <si>
    <t>3% de rechazo</t>
  </si>
  <si>
    <t>Recepción material de Armazones almacén automático</t>
  </si>
  <si>
    <t>Dejar Armazones en el montacargas (bajar abajo)</t>
  </si>
  <si>
    <t>Coger armazón de Recpeciones</t>
  </si>
  <si>
    <t>Desplazamiento desde Recepciones hasta montacargas</t>
  </si>
  <si>
    <t>Dejar Armazón en el montacargas</t>
  </si>
  <si>
    <t>Desplazamiento montacargas hasta Recepciones</t>
  </si>
  <si>
    <t>Cogidos 117 días de 2024. Cantidad total de China que va a Lavandería</t>
  </si>
  <si>
    <t>Coger el material de China</t>
  </si>
  <si>
    <t>Desplazamiento hasta Recepciones</t>
  </si>
  <si>
    <t>Dejar material en Recepciones</t>
  </si>
  <si>
    <t>Verificar con la pistola y cerrar recepción en Garibai</t>
  </si>
  <si>
    <t>Si hay error en lectura corregir</t>
  </si>
  <si>
    <t>Error lectura China</t>
  </si>
  <si>
    <t>CHI_AUTO_RECH</t>
  </si>
  <si>
    <t>Ubicar material de CHINA en almacén automático (Arriba)</t>
  </si>
  <si>
    <t>Cojo el material de Recepciones</t>
  </si>
  <si>
    <t>Verificar envolvente secuenciado</t>
  </si>
  <si>
    <t>Dejar carro de secuencia hecho en su sitio</t>
  </si>
  <si>
    <t>Sacar cercos (cajas vacías) de chapa desde Dobladora a zona exterior (Residuos)</t>
  </si>
  <si>
    <t>Verificación carga del camión</t>
  </si>
  <si>
    <t>Dejar máquina en el camión</t>
  </si>
  <si>
    <t>Desplazamiento hasta la zona de las máquinas grandes (ida y vuelta)</t>
  </si>
  <si>
    <t>Firma docuemento</t>
  </si>
  <si>
    <t>FUERA DEL PROCESO</t>
  </si>
  <si>
    <t>Desplazamiento hasta el camión de chapa (ida y vuelta)</t>
  </si>
  <si>
    <t>Desplazamiento en la zona suelo</t>
  </si>
  <si>
    <t>Desplazamiento desde zona suelo contenedor hasta su ubicación en estantería (ida y vuelta)</t>
  </si>
  <si>
    <t>Devolución componentes rechazados por Calidad</t>
  </si>
  <si>
    <t>Desplazamiento hasta premontajes</t>
  </si>
  <si>
    <t>Devoluciones Calidad de componentes en Premontajes</t>
  </si>
  <si>
    <t>DEV_CAL</t>
  </si>
  <si>
    <t>Dos devoluciones de cuatro cajas</t>
  </si>
  <si>
    <t>Devoluciones día por Calidad</t>
  </si>
  <si>
    <t>DEV_DIA</t>
  </si>
  <si>
    <t>Desplamiento desde premontajes hasta Recepciones (ida y vuelta)</t>
  </si>
  <si>
    <t>Dejar devolución en Recepción</t>
  </si>
  <si>
    <t>Lectura código de barras contenedor (con desplazamiento hasta el contenedor)</t>
  </si>
  <si>
    <t>Coger las cajas de premontaje (llevamos 2 a la vez)</t>
  </si>
  <si>
    <t>3 en L1 y 3 en L2</t>
  </si>
  <si>
    <t>CONT_CHAT</t>
  </si>
  <si>
    <t>Viajes día tirar Chatarra</t>
  </si>
  <si>
    <t>CHAT_DIA</t>
  </si>
  <si>
    <t>Tirar chatarra a Residuos</t>
  </si>
  <si>
    <t>Desplazamiento hasta zona Chatarra</t>
  </si>
  <si>
    <t>Coger contenedor de Chatarra</t>
  </si>
  <si>
    <t>Desplazamiento hasta la zona de Residuos</t>
  </si>
  <si>
    <t>Volcar contenedor en el Compactador</t>
  </si>
  <si>
    <t>Desplazamiento hasta premontaje</t>
  </si>
  <si>
    <t>Dejar contenedor en su sitio</t>
  </si>
  <si>
    <t>148 cajas para mover 68 máquinas al día (8 kg - 120 kg.)</t>
  </si>
  <si>
    <t>Katea</t>
  </si>
  <si>
    <t>KAT_PUER</t>
  </si>
  <si>
    <t>Cargar camión con material para KATEA</t>
  </si>
  <si>
    <t>Cargar material para Subcontratistas y devoluciones a proveedor</t>
  </si>
  <si>
    <t>Desplazarse a la oficina</t>
  </si>
  <si>
    <t>Subcontratista</t>
  </si>
  <si>
    <t>Devoluciones</t>
  </si>
  <si>
    <t>Cajas de media para mandar a subcontratistas</t>
  </si>
  <si>
    <t>Cajas devolución a proveedores</t>
  </si>
  <si>
    <t>CAJ_SUBC</t>
  </si>
  <si>
    <t>CAJ_DEVOL</t>
  </si>
  <si>
    <t>Suma subcontratistas y devoluciones</t>
  </si>
  <si>
    <t>CAJ_DEVU</t>
  </si>
  <si>
    <t>Datos de Noviembre</t>
  </si>
  <si>
    <t>Desplazamiento hasta la carretilla</t>
  </si>
  <si>
    <t>Coger caja de Recepciones</t>
  </si>
  <si>
    <t>Desplazamiento hasta el camión (ida y vuelta)</t>
  </si>
  <si>
    <t>Dejar caja en el camión</t>
  </si>
  <si>
    <t>Entregar albarán al transportista</t>
  </si>
  <si>
    <t>Hacer el albarán del proveedor</t>
  </si>
  <si>
    <t>Desplazarse hasta el contenedor</t>
  </si>
  <si>
    <t>Coger el contenedor de material</t>
  </si>
  <si>
    <t>Dejar el contenedor en el camión</t>
  </si>
  <si>
    <t>Entregar el albarán al transportista</t>
  </si>
  <si>
    <t>Viajes de carga de camión por día</t>
  </si>
  <si>
    <t>KAT_CAM</t>
  </si>
  <si>
    <t>BUL_SAT</t>
  </si>
  <si>
    <t>ENV_BUL_SAT</t>
  </si>
  <si>
    <t>Hacer el albarán para el proveedor (documento interno)</t>
  </si>
  <si>
    <t>Hacer el albarán para el proveedor y llamar a camionero</t>
  </si>
  <si>
    <t>Descargar China (temporal, material del día siguiente)</t>
  </si>
  <si>
    <t>Coger albarán de Gojain y verificar el albarán contra los bultos</t>
  </si>
  <si>
    <t>CHI_VIA</t>
  </si>
  <si>
    <t>Si hay errores, verificar y devolver material</t>
  </si>
  <si>
    <t>Errores China en recepción</t>
  </si>
  <si>
    <t>ERR_CHI_GOI</t>
  </si>
  <si>
    <t>Desplazamiento desde Recepciones hasta el camión (ida y vuelta)</t>
  </si>
  <si>
    <t>Coger el bulto</t>
  </si>
  <si>
    <t>Dejar el bulto</t>
  </si>
  <si>
    <t>Desplazamiento desde Recepción hasta salida almacén</t>
  </si>
  <si>
    <t>Ubicar Armazones en Almacén Central desde ubicación alm. material chapa 3D interno</t>
  </si>
  <si>
    <t>Coger material del montacargas y dejarlo en Ubicación almacén material 3D interno</t>
  </si>
  <si>
    <t>Coger el material</t>
  </si>
  <si>
    <t>Desplazamiento hasta la zona de ubicación almacén material 3D interno</t>
  </si>
  <si>
    <t>Recepción convencional</t>
  </si>
  <si>
    <t>Llevar chapa 3D pasando por diferentes máquinas de chapa (prensa, dobladora, 3D…) en almacén central. Chapa &gt; Playa Almacén</t>
  </si>
  <si>
    <t>Ubicar en almacén central chapa 3D pasando por diferentes máquinas de chapa. Playa &gt; Almacén</t>
  </si>
  <si>
    <t>Llevar China del Almacén automático hacia playa de salida. Almacén automático &gt; Playa</t>
  </si>
  <si>
    <t>CAMBIAR LOS PUESTO CON EL TACKTO</t>
  </si>
  <si>
    <t>Si se usan KLT internos, coger el vacio y llevarlo a la estanteria</t>
  </si>
  <si>
    <t>Suministro premontaje almacén central</t>
  </si>
  <si>
    <t>Baja</t>
  </si>
  <si>
    <t>Alta</t>
  </si>
  <si>
    <t>Suministro entre máquinas chapa</t>
  </si>
  <si>
    <t>Suministro desde Dobladoras a premontajes</t>
  </si>
  <si>
    <t>INVENTARIO</t>
  </si>
  <si>
    <t>Inventario</t>
  </si>
  <si>
    <t>Cajas Würth 8-25 kg</t>
  </si>
  <si>
    <t>Cajas Würth 35-120 kg.</t>
  </si>
  <si>
    <t>1 Transpaleta automática</t>
  </si>
  <si>
    <t>1 Transpaleta manual</t>
  </si>
  <si>
    <t>2 Retractiles moviendo 500 kg. de peso</t>
  </si>
  <si>
    <t>1 Carretilla moviendo 500 Kg. De peso</t>
  </si>
  <si>
    <t>1 Carretilla moviendo 500 kg. de peso</t>
  </si>
  <si>
    <t>nueva con enganche</t>
  </si>
  <si>
    <t>1 Carretilla moviendo 1.200 kg. de peso entrando en camión</t>
  </si>
  <si>
    <t>1 Carretilla moviendo 3.000 de peso pero sin elevación (a 500 mm.)</t>
  </si>
  <si>
    <t>3 Tractoras tirando de unos 800 kg.</t>
  </si>
  <si>
    <t>1 Carretilla moviendo 1.200 kg. de peso, entrando en camión</t>
  </si>
  <si>
    <t>LOGISTICS OPERATIONS PROCESSES</t>
  </si>
  <si>
    <t>Machines per day:</t>
  </si>
  <si>
    <t>Shifts</t>
  </si>
  <si>
    <t>No. of people Handling</t>
  </si>
  <si>
    <t>Assigned Machine</t>
  </si>
  <si>
    <t>Process Steps</t>
  </si>
  <si>
    <t>Handling Unit (HU)</t>
  </si>
  <si>
    <t>No. of HUs per day</t>
  </si>
  <si>
    <t>Time per HU (min)</t>
  </si>
  <si>
    <t>Time with CF per HU (min)</t>
  </si>
  <si>
    <t>MOD min/day (Manpower per minute per day)</t>
  </si>
  <si>
    <t>No. of operators per day</t>
  </si>
  <si>
    <t>No. of Trolleys per day</t>
  </si>
  <si>
    <t>No. of Pallet Jacks per day</t>
  </si>
  <si>
    <t>MATERIAL RECEIPT</t>
  </si>
  <si>
    <t>Conventional Reception</t>
  </si>
  <si>
    <t>Check documentation provided by the carrier</t>
  </si>
  <si>
    <t>Movement from reception office to truck</t>
  </si>
  <si>
    <t>Check for any damages to the goods</t>
  </si>
  <si>
    <t>Climb onto the forklift</t>
  </si>
  <si>
    <t>Move to the machine</t>
  </si>
  <si>
    <t>Pick up the container from the truck</t>
  </si>
  <si>
    <t>DASHBOARD (or CONTROL PANEL)</t>
  </si>
  <si>
    <t>HUMAN RESOURCES</t>
  </si>
  <si>
    <t>LIFTING MACHINERY</t>
  </si>
  <si>
    <t>FORKLIFT</t>
  </si>
  <si>
    <t>PALLET JACK</t>
  </si>
  <si>
    <t>TRACTOR UNIT</t>
  </si>
  <si>
    <t>3D Material Reception</t>
  </si>
  <si>
    <t>Load truck with material for KATEA</t>
  </si>
  <si>
    <t>Load SAT</t>
  </si>
  <si>
    <t>Load material for subcontractors and returns to the supplier</t>
  </si>
  <si>
    <t>Unload China (temporary, material for the following day)</t>
  </si>
  <si>
    <t>Transfer correct containers to the line</t>
  </si>
  <si>
    <t>Processes</t>
  </si>
  <si>
    <t>Theoretical Required Personnel</t>
  </si>
  <si>
    <t>Actual Personnel</t>
  </si>
  <si>
    <t>STACKER</t>
  </si>
  <si>
    <t>REACH TRUCK</t>
  </si>
  <si>
    <t>TOTAL RESOURCES</t>
  </si>
  <si>
    <t xml:space="preserve">Cargar SAT </t>
  </si>
  <si>
    <t>Coger albarán y verificar el albarán contra los bultos</t>
  </si>
  <si>
    <t>Desubicación cajas componentes kanban a premontajes/"Sidreria" (8 - 120 kg.) Almacén &gt; Playa</t>
  </si>
  <si>
    <t>Desubicar Chapa del almacén central hacia premontajes  Almacén &gt; Playa</t>
  </si>
  <si>
    <t>Carros secuenciados desde "Sidreria" hasta Linea 1</t>
  </si>
  <si>
    <t>Carros secuenciados desde "Sidreria" hasta Linea 2</t>
  </si>
  <si>
    <t>Desplazamiento desde montaje hasta zona vacios Sidreria</t>
  </si>
  <si>
    <t>Desplazamiento desde la zona de llenos de Sidreria hasta montaje (pasando por los premontajes)</t>
  </si>
  <si>
    <t>Picking secuenciado dentro de Sidreria L1</t>
  </si>
  <si>
    <t>Fin suministro Sidreria</t>
  </si>
  <si>
    <t>Picking secuenciado dentro de Sidreria L2</t>
  </si>
  <si>
    <t>Recogida material de SAT (premontajes/Sidreria)</t>
  </si>
  <si>
    <t>Cargar máquinas en el camión</t>
  </si>
  <si>
    <t>Desplazamiento hasta el exterior</t>
  </si>
  <si>
    <t xml:space="preserve">Si existe algún dato NOOK trasladar anomalía en albarán </t>
  </si>
  <si>
    <t>Comprobar etiqueta contenedor contra albarán  (Ref, Cant, TCont Asig, TCont Real, …)</t>
  </si>
  <si>
    <t xml:space="preserve">Verificar con la pistola y cerrar recepción </t>
  </si>
  <si>
    <t>Comprobar etiqueta contenedor contra albarán (Ref, Cant, TCont Asig, TCont Real, …)</t>
  </si>
  <si>
    <t>Ubicar material de Chapa 2D en almacén automático (Arriba)</t>
  </si>
  <si>
    <t xml:space="preserve">Comprobar el numero de bultos recepcionados respecto al albarán </t>
  </si>
  <si>
    <t>Comprobar etiqueta contenedor contra albarán  (Ref y Cant)</t>
  </si>
  <si>
    <t xml:space="preserve">Comprobar nº de bultos por tipo de contenedor contra CMR/AdT y documento interno </t>
  </si>
  <si>
    <t>Introducir datos correctos en sistema (chequeo albaran proveedor vs pedido )</t>
  </si>
  <si>
    <t>Desubicación desde almacén (caótico) a Picking (zona fija) Almacen caótico &gt; Almacén Picking</t>
  </si>
  <si>
    <t>Desubicación cajas componentes kanban a premontajes/"Sidreria" Almacén &gt; Playa</t>
  </si>
  <si>
    <t>Desubicar Chapa del almacén central hacia premontajes (3D  y Chapa ) Almacén &gt; Playa</t>
  </si>
  <si>
    <t>Cajas desde Playa hasta premontajes/Sidreria L1/L2</t>
  </si>
  <si>
    <t>Carros secuenciados desde Sidreria hasta Linea 1</t>
  </si>
  <si>
    <t>Carros secuenciados desde Sidreria hasta Linea 2</t>
  </si>
  <si>
    <t>Producto acabado de Tubos para almacén y producto terminado</t>
  </si>
  <si>
    <t xml:space="preserve">Desplazamiento hasta el exterior </t>
  </si>
  <si>
    <t>Cajas Totales internas frigos 8-120  (proveedor, Txapa, China)</t>
  </si>
  <si>
    <t xml:space="preserve">Camiones dia </t>
  </si>
  <si>
    <t>Camiones  con Chapa</t>
  </si>
  <si>
    <t>Camiones  con Chapa 2D</t>
  </si>
  <si>
    <t xml:space="preserve">Camiones almacén arriba </t>
  </si>
  <si>
    <t xml:space="preserve">Cajas de Chapa </t>
  </si>
  <si>
    <t>Cajas de Chapa al almacén Central Garibai (3D)</t>
  </si>
  <si>
    <t>Pallets chapa al almacén Central Garibai (2D)</t>
  </si>
  <si>
    <t>Pallets chapa  al almacén automático (2D)</t>
  </si>
  <si>
    <t>Pallets chapa  a las estanterias de fuera 2D (Chapas grandes)</t>
  </si>
  <si>
    <t>Contenedores chapa en almacén central para premontajes (3D  + Chapa Term Gar.)</t>
  </si>
  <si>
    <t>Cajas de CHAPA desde almacén central hasta premontajes (3D  + chapa garibai pren)</t>
  </si>
  <si>
    <t>Bultos entrada Chapa 2D</t>
  </si>
  <si>
    <t>Bultos entrada Chapa  3D</t>
  </si>
  <si>
    <t xml:space="preserve">Cajas trasvasadas almacén </t>
  </si>
  <si>
    <t>Error en datos albarán proveedor vs pedido Empresa</t>
  </si>
  <si>
    <t>Error en datos albarán proveedor vs pedido Empresa CHINA</t>
  </si>
  <si>
    <t>Bultos diarios de Txapa  a Garibai (en 2D)</t>
  </si>
  <si>
    <t>Cajas en Sidreria</t>
  </si>
  <si>
    <t>Piezas en Sidreria para ubicar en cada carro kit de suministro a Linea 1</t>
  </si>
  <si>
    <t>Piezas en Sidreria para ubicar en cada carro kit de suministro a Linea 2</t>
  </si>
  <si>
    <t>Piezas en Sidreria suminitras por día Línea 1</t>
  </si>
  <si>
    <t>Piezas en Sidreria suminitras por día Línea 2</t>
  </si>
  <si>
    <t>Kits de carros de Premontaje a línea en Sidreria vacios</t>
  </si>
  <si>
    <t>Kits de carros de Premontaje a línea en Sidreria llenos</t>
  </si>
  <si>
    <t xml:space="preserve">Bultos enviados </t>
  </si>
  <si>
    <t>Envío al día de SAT de frigos</t>
  </si>
  <si>
    <t xml:space="preserve">Producto terminado Tubos </t>
  </si>
  <si>
    <t>Contenedores de chatarra en frigos</t>
  </si>
  <si>
    <t xml:space="preserve">Cajas para enviar a Katea </t>
  </si>
  <si>
    <t xml:space="preserve">Viajes </t>
  </si>
  <si>
    <t>Pickinero Sidreria</t>
  </si>
  <si>
    <t>Desplazamiento desde Sidreria hasta almacén</t>
  </si>
  <si>
    <t>Desplazamiento desde almacén hasta Sidreria</t>
  </si>
  <si>
    <t>Desplazamiento desde zona de envío a linea (Sidreria) a Pallet Almacén</t>
  </si>
  <si>
    <t>Desplazamiento desde línea hasta Sidreria (con el carro VACIO kit)</t>
  </si>
  <si>
    <t>Desplazamiento desde línea hasta Sidreria (con el carro LLENO kit)</t>
  </si>
  <si>
    <t>Desplazamiento desde línea hasta Sidreria (con el carro VACIO kit) (35-60 kg.)</t>
  </si>
  <si>
    <t>Desplazamiento desde línea hasta Sidreria (con el carro LLENO kit) (35-60 kg.)</t>
  </si>
  <si>
    <t>Desplazamiento zona Sidreria</t>
  </si>
  <si>
    <t>% Ref. Txapa  al almacén central de Garibai</t>
  </si>
  <si>
    <t>% Ref. Txapa que van al almacén automático , pasan por txapa  y acaban en línea directa.</t>
  </si>
  <si>
    <t>Chapa  en 2D</t>
  </si>
  <si>
    <t>Chapa  en 3D</t>
  </si>
  <si>
    <t>Cajas que trasvasamos en Recepciones</t>
  </si>
  <si>
    <t>Cajas consumidas en Sidreria 8 -25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</si>
</sst>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"/>
    <numFmt numFmtId="165" formatCode="#,##0.0"/>
    <numFmt numFmtId="166" formatCode="0.0"/>
    <numFmt numFmtId="167" formatCode="0.0%"/>
    <numFmt numFmtId="168" formatCode="0.0000000"/>
    <numFmt numFmtId="169" formatCode="#,##0.000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6"/>
      <color indexed="8"/>
      <name val="Arial"/>
      <family val="2"/>
    </font>
    <font>
      <sz val="10"/>
      <color indexed="8"/>
      <name val="Arial"/>
      <family val="2"/>
    </font>
    <font>
      <b/>
      <sz val="13"/>
      <color indexed="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10"/>
      <color indexed="8"/>
      <name val="MS Sans Serif"/>
      <family val="2"/>
    </font>
    <font>
      <sz val="11"/>
      <color indexed="8"/>
      <name val="Arial"/>
      <family val="2"/>
    </font>
    <font>
      <b/>
      <u/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MS Sans Serif"/>
    </font>
    <font>
      <sz val="16"/>
      <color indexed="8"/>
      <name val="Arial"/>
      <family val="2"/>
    </font>
    <font>
      <b/>
      <sz val="16"/>
      <name val="Verdana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4"/>
      <color indexed="8"/>
      <name val="Arial"/>
      <family val="2"/>
    </font>
    <font>
      <b/>
      <sz val="20"/>
      <color rgb="FFC00000"/>
      <name val="Arial"/>
      <family val="2"/>
    </font>
    <font>
      <b/>
      <u/>
      <sz val="16"/>
      <name val="Arial"/>
      <family val="2"/>
    </font>
    <font>
      <i/>
      <sz val="10"/>
      <color indexed="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8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</font>
    <font>
      <b/>
      <sz val="13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3"/>
      <color theme="1"/>
      <name val="Arial"/>
      <family val="2"/>
    </font>
    <font>
      <b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b/>
      <sz val="13"/>
      <color theme="1"/>
      <name val="Calibri"/>
      <family val="2"/>
      <scheme val="minor"/>
    </font>
    <font>
      <i/>
      <sz val="12"/>
      <color theme="1"/>
      <name val="Arial"/>
      <family val="2"/>
    </font>
    <font>
      <b/>
      <sz val="11"/>
      <color rgb="FFC00000"/>
      <name val="Calibri"/>
      <family val="2"/>
      <scheme val="minor"/>
    </font>
    <font>
      <sz val="10"/>
      <color theme="2" tint="-0.249977111117893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11"/>
      <color rgb="FFFF0000"/>
      <name val="Arial"/>
      <family val="2"/>
    </font>
    <font>
      <sz val="12"/>
      <color rgb="FFFF0000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b/>
      <sz val="16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1E0"/>
        <bgColor indexed="64"/>
      </patternFill>
    </fill>
    <fill>
      <patternFill patternType="solid">
        <fgColor rgb="FFADEBE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9" fontId="3" fillId="0" borderId="0" applyFont="0" applyFill="0" applyBorder="0" applyAlignment="0" applyProtection="0"/>
  </cellStyleXfs>
  <cellXfs count="76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5" fillId="0" borderId="0" xfId="0" applyFont="1"/>
    <xf numFmtId="0" fontId="5" fillId="0" borderId="2" xfId="0" applyFont="1" applyBorder="1" applyAlignment="1">
      <alignment horizontal="left"/>
    </xf>
    <xf numFmtId="0" fontId="5" fillId="2" borderId="2" xfId="0" applyFont="1" applyFill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5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3" borderId="4" xfId="0" applyFont="1" applyFill="1" applyBorder="1" applyAlignment="1">
      <alignment horizontal="center"/>
    </xf>
    <xf numFmtId="0" fontId="7" fillId="0" borderId="0" xfId="0" applyFont="1"/>
    <xf numFmtId="0" fontId="8" fillId="0" borderId="5" xfId="0" applyFont="1" applyBorder="1"/>
    <xf numFmtId="0" fontId="3" fillId="0" borderId="6" xfId="0" applyFont="1" applyBorder="1"/>
    <xf numFmtId="10" fontId="9" fillId="0" borderId="4" xfId="1" applyNumberFormat="1" applyFont="1" applyBorder="1" applyAlignment="1">
      <alignment horizontal="center"/>
    </xf>
    <xf numFmtId="2" fontId="5" fillId="0" borderId="0" xfId="0" applyNumberFormat="1" applyFont="1"/>
    <xf numFmtId="0" fontId="3" fillId="0" borderId="7" xfId="0" applyFont="1" applyBorder="1"/>
    <xf numFmtId="0" fontId="3" fillId="0" borderId="8" xfId="0" applyFont="1" applyBorder="1"/>
    <xf numFmtId="10" fontId="10" fillId="2" borderId="1" xfId="1" applyNumberFormat="1" applyFont="1" applyFill="1" applyBorder="1" applyAlignment="1">
      <alignment horizontal="right"/>
    </xf>
    <xf numFmtId="0" fontId="3" fillId="0" borderId="9" xfId="0" applyFont="1" applyBorder="1"/>
    <xf numFmtId="0" fontId="3" fillId="0" borderId="10" xfId="0" applyFont="1" applyBorder="1"/>
    <xf numFmtId="10" fontId="10" fillId="2" borderId="2" xfId="1" applyNumberFormat="1" applyFont="1" applyFill="1" applyBorder="1" applyAlignment="1">
      <alignment horizontal="right"/>
    </xf>
    <xf numFmtId="0" fontId="3" fillId="0" borderId="11" xfId="0" applyFont="1" applyBorder="1"/>
    <xf numFmtId="0" fontId="3" fillId="0" borderId="12" xfId="0" applyFont="1" applyBorder="1"/>
    <xf numFmtId="10" fontId="10" fillId="2" borderId="3" xfId="1" applyNumberFormat="1" applyFont="1" applyFill="1" applyBorder="1" applyAlignment="1">
      <alignment horizontal="right"/>
    </xf>
    <xf numFmtId="0" fontId="12" fillId="0" borderId="0" xfId="2" applyFont="1"/>
    <xf numFmtId="0" fontId="6" fillId="0" borderId="4" xfId="3" applyFont="1" applyBorder="1" applyAlignment="1">
      <alignment horizontal="left"/>
    </xf>
    <xf numFmtId="0" fontId="6" fillId="0" borderId="1" xfId="3" applyFont="1" applyBorder="1" applyAlignment="1">
      <alignment horizontal="center" wrapText="1"/>
    </xf>
    <xf numFmtId="0" fontId="6" fillId="0" borderId="4" xfId="3" applyFont="1" applyBorder="1" applyAlignment="1">
      <alignment horizontal="center" wrapText="1"/>
    </xf>
    <xf numFmtId="0" fontId="10" fillId="0" borderId="4" xfId="2" applyFont="1" applyBorder="1" applyAlignment="1">
      <alignment horizontal="left"/>
    </xf>
    <xf numFmtId="164" fontId="14" fillId="0" borderId="4" xfId="3" applyNumberFormat="1" applyFont="1" applyBorder="1" applyAlignment="1">
      <alignment horizontal="center"/>
    </xf>
    <xf numFmtId="0" fontId="14" fillId="3" borderId="4" xfId="3" applyFont="1" applyFill="1" applyBorder="1" applyAlignment="1">
      <alignment horizontal="left"/>
    </xf>
    <xf numFmtId="2" fontId="14" fillId="3" borderId="4" xfId="3" applyNumberFormat="1" applyFont="1" applyFill="1" applyBorder="1" applyAlignment="1">
      <alignment horizontal="center"/>
    </xf>
    <xf numFmtId="0" fontId="15" fillId="0" borderId="0" xfId="0" applyFont="1"/>
    <xf numFmtId="0" fontId="16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0" xfId="0" applyFont="1" applyAlignment="1">
      <alignment horizontal="center"/>
    </xf>
    <xf numFmtId="0" fontId="3" fillId="0" borderId="0" xfId="4" applyFont="1" applyAlignment="1">
      <alignment horizontal="center"/>
    </xf>
    <xf numFmtId="0" fontId="3" fillId="0" borderId="0" xfId="4" applyFont="1"/>
    <xf numFmtId="0" fontId="2" fillId="0" borderId="0" xfId="4" applyFont="1"/>
    <xf numFmtId="0" fontId="6" fillId="0" borderId="0" xfId="4" applyFont="1" applyAlignment="1">
      <alignment horizontal="left"/>
    </xf>
    <xf numFmtId="0" fontId="5" fillId="0" borderId="0" xfId="4" applyFont="1" applyAlignment="1">
      <alignment horizontal="left"/>
    </xf>
    <xf numFmtId="0" fontId="16" fillId="0" borderId="4" xfId="4" applyFont="1" applyBorder="1" applyAlignment="1">
      <alignment horizontal="left"/>
    </xf>
    <xf numFmtId="0" fontId="16" fillId="0" borderId="4" xfId="4" applyFont="1" applyBorder="1" applyAlignment="1">
      <alignment horizontal="center"/>
    </xf>
    <xf numFmtId="0" fontId="16" fillId="0" borderId="0" xfId="4" applyFont="1" applyAlignment="1">
      <alignment horizontal="left"/>
    </xf>
    <xf numFmtId="0" fontId="16" fillId="0" borderId="0" xfId="4" applyFont="1" applyAlignment="1">
      <alignment horizontal="center"/>
    </xf>
    <xf numFmtId="0" fontId="3" fillId="0" borderId="1" xfId="4" applyFont="1" applyBorder="1" applyAlignment="1">
      <alignment horizontal="left"/>
    </xf>
    <xf numFmtId="0" fontId="3" fillId="0" borderId="2" xfId="4" applyFont="1" applyBorder="1" applyAlignment="1">
      <alignment horizontal="left"/>
    </xf>
    <xf numFmtId="0" fontId="3" fillId="0" borderId="2" xfId="4" applyFont="1" applyBorder="1"/>
    <xf numFmtId="0" fontId="18" fillId="0" borderId="0" xfId="4" applyFont="1"/>
    <xf numFmtId="0" fontId="19" fillId="0" borderId="0" xfId="2" applyFont="1" applyAlignment="1">
      <alignment horizontal="center"/>
    </xf>
    <xf numFmtId="0" fontId="3" fillId="0" borderId="3" xfId="4" applyFont="1" applyBorder="1"/>
    <xf numFmtId="0" fontId="3" fillId="0" borderId="0" xfId="4" applyFont="1" applyAlignment="1">
      <alignment wrapText="1"/>
    </xf>
    <xf numFmtId="0" fontId="3" fillId="0" borderId="0" xfId="4" applyFont="1" applyAlignment="1">
      <alignment horizontal="center" wrapText="1"/>
    </xf>
    <xf numFmtId="2" fontId="3" fillId="0" borderId="0" xfId="4" applyNumberFormat="1" applyFont="1" applyAlignment="1">
      <alignment wrapText="1"/>
    </xf>
    <xf numFmtId="14" fontId="3" fillId="0" borderId="0" xfId="4" applyNumberFormat="1" applyFont="1" applyAlignment="1">
      <alignment horizontal="center"/>
    </xf>
    <xf numFmtId="0" fontId="3" fillId="0" borderId="0" xfId="4" applyFont="1" applyAlignment="1">
      <alignment horizontal="left"/>
    </xf>
    <xf numFmtId="2" fontId="3" fillId="0" borderId="0" xfId="4" applyNumberFormat="1" applyFont="1" applyAlignment="1">
      <alignment horizontal="center"/>
    </xf>
    <xf numFmtId="0" fontId="21" fillId="0" borderId="0" xfId="4" applyFont="1" applyAlignment="1">
      <alignment horizontal="left"/>
    </xf>
    <xf numFmtId="0" fontId="18" fillId="0" borderId="0" xfId="4" applyFont="1" applyAlignment="1">
      <alignment horizontal="center"/>
    </xf>
    <xf numFmtId="0" fontId="3" fillId="0" borderId="0" xfId="4" applyFont="1" applyAlignment="1">
      <alignment horizontal="right"/>
    </xf>
    <xf numFmtId="0" fontId="22" fillId="0" borderId="0" xfId="4" applyFont="1"/>
    <xf numFmtId="0" fontId="22" fillId="0" borderId="0" xfId="4" applyFont="1" applyAlignment="1">
      <alignment horizontal="center"/>
    </xf>
    <xf numFmtId="0" fontId="3" fillId="0" borderId="0" xfId="3" applyFont="1"/>
    <xf numFmtId="0" fontId="23" fillId="0" borderId="0" xfId="2" applyFont="1"/>
    <xf numFmtId="0" fontId="24" fillId="0" borderId="0" xfId="2" applyFont="1" applyAlignment="1">
      <alignment horizontal="left"/>
    </xf>
    <xf numFmtId="1" fontId="22" fillId="0" borderId="0" xfId="3" applyNumberFormat="1" applyFont="1"/>
    <xf numFmtId="0" fontId="25" fillId="0" borderId="0" xfId="4" applyFont="1"/>
    <xf numFmtId="0" fontId="3" fillId="0" borderId="0" xfId="3" applyFont="1" applyAlignment="1">
      <alignment horizontal="center"/>
    </xf>
    <xf numFmtId="0" fontId="6" fillId="0" borderId="0" xfId="3" applyFont="1" applyAlignment="1">
      <alignment horizontal="center"/>
    </xf>
    <xf numFmtId="0" fontId="26" fillId="0" borderId="4" xfId="2" applyFont="1" applyBorder="1" applyAlignment="1">
      <alignment vertical="center"/>
    </xf>
    <xf numFmtId="0" fontId="5" fillId="0" borderId="0" xfId="3" applyFont="1"/>
    <xf numFmtId="0" fontId="27" fillId="0" borderId="0" xfId="2" applyFont="1" applyAlignment="1">
      <alignment horizontal="left" vertical="center"/>
    </xf>
    <xf numFmtId="0" fontId="20" fillId="0" borderId="0" xfId="2" applyFont="1" applyAlignment="1">
      <alignment horizontal="center" vertical="center" wrapText="1"/>
    </xf>
    <xf numFmtId="0" fontId="3" fillId="0" borderId="4" xfId="3" applyFont="1" applyBorder="1" applyAlignment="1">
      <alignment horizontal="center"/>
    </xf>
    <xf numFmtId="3" fontId="10" fillId="0" borderId="0" xfId="2" applyNumberFormat="1" applyFont="1" applyAlignment="1">
      <alignment horizontal="right"/>
    </xf>
    <xf numFmtId="0" fontId="3" fillId="0" borderId="4" xfId="4" applyFont="1" applyBorder="1" applyAlignment="1">
      <alignment horizontal="center"/>
    </xf>
    <xf numFmtId="0" fontId="20" fillId="0" borderId="0" xfId="2" applyFont="1"/>
    <xf numFmtId="164" fontId="14" fillId="4" borderId="4" xfId="3" applyNumberFormat="1" applyFont="1" applyFill="1" applyBorder="1" applyAlignment="1">
      <alignment horizontal="center"/>
    </xf>
    <xf numFmtId="4" fontId="3" fillId="0" borderId="4" xfId="3" applyNumberFormat="1" applyFont="1" applyBorder="1" applyAlignment="1">
      <alignment horizontal="center"/>
    </xf>
    <xf numFmtId="0" fontId="11" fillId="0" borderId="8" xfId="2" applyBorder="1" applyAlignment="1">
      <alignment horizontal="center"/>
    </xf>
    <xf numFmtId="0" fontId="11" fillId="0" borderId="10" xfId="2" applyBorder="1" applyAlignment="1">
      <alignment horizontal="center"/>
    </xf>
    <xf numFmtId="0" fontId="3" fillId="0" borderId="10" xfId="4" applyFont="1" applyBorder="1" applyAlignment="1">
      <alignment horizontal="center"/>
    </xf>
    <xf numFmtId="0" fontId="11" fillId="0" borderId="12" xfId="2" applyBorder="1" applyAlignment="1">
      <alignment horizontal="center"/>
    </xf>
    <xf numFmtId="0" fontId="11" fillId="0" borderId="2" xfId="2" applyBorder="1" applyAlignment="1">
      <alignment vertical="center" wrapText="1"/>
    </xf>
    <xf numFmtId="0" fontId="3" fillId="5" borderId="4" xfId="3" applyFont="1" applyFill="1" applyBorder="1" applyAlignment="1">
      <alignment horizontal="center"/>
    </xf>
    <xf numFmtId="2" fontId="16" fillId="2" borderId="4" xfId="3" applyNumberFormat="1" applyFont="1" applyFill="1" applyBorder="1" applyAlignment="1">
      <alignment horizontal="center"/>
    </xf>
    <xf numFmtId="0" fontId="11" fillId="0" borderId="0" xfId="2"/>
    <xf numFmtId="0" fontId="11" fillId="0" borderId="4" xfId="2" applyBorder="1" applyAlignment="1">
      <alignment horizontal="center" vertical="center" textRotation="90" wrapText="1"/>
    </xf>
    <xf numFmtId="0" fontId="11" fillId="0" borderId="4" xfId="2" applyBorder="1" applyAlignment="1">
      <alignment horizontal="center" vertical="center" wrapText="1"/>
    </xf>
    <xf numFmtId="0" fontId="11" fillId="0" borderId="4" xfId="2" applyBorder="1" applyAlignment="1">
      <alignment horizontal="center"/>
    </xf>
    <xf numFmtId="4" fontId="11" fillId="0" borderId="4" xfId="2" applyNumberFormat="1" applyBorder="1" applyAlignment="1">
      <alignment horizontal="center"/>
    </xf>
    <xf numFmtId="0" fontId="11" fillId="0" borderId="4" xfId="2" applyBorder="1" applyAlignment="1">
      <alignment vertical="center" wrapText="1"/>
    </xf>
    <xf numFmtId="0" fontId="3" fillId="5" borderId="4" xfId="4" applyFont="1" applyFill="1" applyBorder="1" applyAlignment="1">
      <alignment horizontal="center"/>
    </xf>
    <xf numFmtId="0" fontId="11" fillId="5" borderId="4" xfId="2" applyFill="1" applyBorder="1" applyAlignment="1">
      <alignment vertical="center" wrapText="1"/>
    </xf>
    <xf numFmtId="0" fontId="11" fillId="5" borderId="4" xfId="2" applyFill="1" applyBorder="1" applyAlignment="1">
      <alignment horizontal="center"/>
    </xf>
    <xf numFmtId="4" fontId="11" fillId="5" borderId="4" xfId="2" applyNumberFormat="1" applyFill="1" applyBorder="1" applyAlignment="1">
      <alignment horizontal="center"/>
    </xf>
    <xf numFmtId="0" fontId="11" fillId="0" borderId="0" xfId="2" applyAlignment="1">
      <alignment vertical="center" wrapText="1"/>
    </xf>
    <xf numFmtId="0" fontId="11" fillId="0" borderId="0" xfId="2" applyAlignment="1">
      <alignment horizontal="center"/>
    </xf>
    <xf numFmtId="3" fontId="11" fillId="0" borderId="0" xfId="2" applyNumberFormat="1" applyAlignment="1">
      <alignment horizontal="center"/>
    </xf>
    <xf numFmtId="2" fontId="11" fillId="0" borderId="0" xfId="2" applyNumberFormat="1" applyAlignment="1">
      <alignment horizontal="center"/>
    </xf>
    <xf numFmtId="0" fontId="11" fillId="0" borderId="0" xfId="2" applyAlignment="1">
      <alignment horizontal="left"/>
    </xf>
    <xf numFmtId="4" fontId="11" fillId="0" borderId="0" xfId="2" applyNumberFormat="1" applyAlignment="1">
      <alignment horizontal="center"/>
    </xf>
    <xf numFmtId="2" fontId="11" fillId="0" borderId="4" xfId="2" applyNumberFormat="1" applyBorder="1" applyAlignment="1">
      <alignment horizontal="center"/>
    </xf>
    <xf numFmtId="2" fontId="11" fillId="5" borderId="4" xfId="2" applyNumberFormat="1" applyFill="1" applyBorder="1" applyAlignment="1">
      <alignment horizontal="center"/>
    </xf>
    <xf numFmtId="0" fontId="11" fillId="5" borderId="5" xfId="2" applyFill="1" applyBorder="1" applyAlignment="1">
      <alignment vertical="center"/>
    </xf>
    <xf numFmtId="0" fontId="11" fillId="0" borderId="5" xfId="2" applyBorder="1" applyAlignment="1">
      <alignment vertical="center"/>
    </xf>
    <xf numFmtId="0" fontId="11" fillId="0" borderId="4" xfId="2" applyBorder="1" applyAlignment="1">
      <alignment vertical="center"/>
    </xf>
    <xf numFmtId="0" fontId="3" fillId="0" borderId="0" xfId="4" applyFont="1" applyAlignment="1">
      <alignment horizontal="left" wrapText="1"/>
    </xf>
    <xf numFmtId="0" fontId="11" fillId="0" borderId="0" xfId="4" applyFont="1" applyAlignment="1">
      <alignment horizontal="left"/>
    </xf>
    <xf numFmtId="166" fontId="0" fillId="0" borderId="0" xfId="0" applyNumberFormat="1"/>
    <xf numFmtId="0" fontId="28" fillId="0" borderId="0" xfId="0" applyFont="1"/>
    <xf numFmtId="0" fontId="29" fillId="0" borderId="0" xfId="0" applyFont="1"/>
    <xf numFmtId="0" fontId="11" fillId="0" borderId="0" xfId="2" applyAlignment="1">
      <alignment vertical="center"/>
    </xf>
    <xf numFmtId="0" fontId="3" fillId="0" borderId="9" xfId="4" applyFont="1" applyBorder="1"/>
    <xf numFmtId="167" fontId="3" fillId="0" borderId="4" xfId="1" applyNumberFormat="1" applyFont="1" applyBorder="1" applyAlignment="1">
      <alignment horizontal="center"/>
    </xf>
    <xf numFmtId="165" fontId="11" fillId="0" borderId="4" xfId="2" applyNumberFormat="1" applyBorder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  <xf numFmtId="166" fontId="0" fillId="0" borderId="0" xfId="0" applyNumberFormat="1" applyAlignment="1">
      <alignment horizontal="center"/>
    </xf>
    <xf numFmtId="3" fontId="3" fillId="0" borderId="1" xfId="4" applyNumberFormat="1" applyFont="1" applyBorder="1" applyAlignment="1">
      <alignment horizontal="center"/>
    </xf>
    <xf numFmtId="3" fontId="3" fillId="0" borderId="2" xfId="4" applyNumberFormat="1" applyFont="1" applyBorder="1" applyAlignment="1">
      <alignment horizontal="center"/>
    </xf>
    <xf numFmtId="165" fontId="3" fillId="0" borderId="2" xfId="4" applyNumberFormat="1" applyFont="1" applyBorder="1" applyAlignment="1">
      <alignment horizontal="center"/>
    </xf>
    <xf numFmtId="3" fontId="3" fillId="0" borderId="3" xfId="4" applyNumberFormat="1" applyFont="1" applyBorder="1" applyAlignment="1">
      <alignment horizontal="center"/>
    </xf>
    <xf numFmtId="0" fontId="11" fillId="2" borderId="2" xfId="4" applyFont="1" applyFill="1" applyBorder="1" applyAlignment="1">
      <alignment horizontal="center"/>
    </xf>
    <xf numFmtId="3" fontId="11" fillId="2" borderId="2" xfId="4" applyNumberFormat="1" applyFont="1" applyFill="1" applyBorder="1" applyAlignment="1">
      <alignment horizontal="center"/>
    </xf>
    <xf numFmtId="0" fontId="11" fillId="2" borderId="3" xfId="4" applyFont="1" applyFill="1" applyBorder="1"/>
    <xf numFmtId="14" fontId="11" fillId="0" borderId="0" xfId="4" applyNumberFormat="1" applyFont="1" applyAlignment="1">
      <alignment horizontal="center"/>
    </xf>
    <xf numFmtId="0" fontId="11" fillId="0" borderId="0" xfId="4" applyFont="1" applyAlignment="1">
      <alignment horizontal="center"/>
    </xf>
    <xf numFmtId="166" fontId="11" fillId="2" borderId="1" xfId="4" applyNumberFormat="1" applyFont="1" applyFill="1" applyBorder="1" applyAlignment="1">
      <alignment horizontal="center"/>
    </xf>
    <xf numFmtId="166" fontId="11" fillId="2" borderId="2" xfId="4" applyNumberFormat="1" applyFont="1" applyFill="1" applyBorder="1" applyAlignment="1">
      <alignment horizontal="center"/>
    </xf>
    <xf numFmtId="4" fontId="32" fillId="0" borderId="4" xfId="2" applyNumberFormat="1" applyFont="1" applyBorder="1" applyAlignment="1">
      <alignment horizontal="center"/>
    </xf>
    <xf numFmtId="0" fontId="11" fillId="0" borderId="2" xfId="2" applyBorder="1" applyAlignment="1">
      <alignment horizontal="center"/>
    </xf>
    <xf numFmtId="166" fontId="11" fillId="0" borderId="4" xfId="2" applyNumberFormat="1" applyBorder="1" applyAlignment="1">
      <alignment horizontal="center"/>
    </xf>
    <xf numFmtId="166" fontId="11" fillId="5" borderId="4" xfId="2" applyNumberFormat="1" applyFill="1" applyBorder="1" applyAlignment="1">
      <alignment horizontal="center"/>
    </xf>
    <xf numFmtId="0" fontId="3" fillId="2" borderId="2" xfId="4" applyFont="1" applyFill="1" applyBorder="1" applyAlignment="1">
      <alignment horizontal="center"/>
    </xf>
    <xf numFmtId="165" fontId="11" fillId="5" borderId="4" xfId="2" applyNumberForma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2" borderId="1" xfId="4" applyFont="1" applyFill="1" applyBorder="1" applyAlignment="1">
      <alignment horizontal="center"/>
    </xf>
    <xf numFmtId="2" fontId="3" fillId="2" borderId="2" xfId="4" applyNumberFormat="1" applyFont="1" applyFill="1" applyBorder="1" applyAlignment="1">
      <alignment horizontal="center"/>
    </xf>
    <xf numFmtId="166" fontId="3" fillId="2" borderId="2" xfId="4" applyNumberFormat="1" applyFont="1" applyFill="1" applyBorder="1" applyAlignment="1">
      <alignment horizontal="center"/>
    </xf>
    <xf numFmtId="3" fontId="3" fillId="2" borderId="2" xfId="4" applyNumberFormat="1" applyFont="1" applyFill="1" applyBorder="1" applyAlignment="1">
      <alignment horizontal="center"/>
    </xf>
    <xf numFmtId="166" fontId="11" fillId="0" borderId="0" xfId="2" applyNumberFormat="1" applyAlignment="1">
      <alignment horizontal="center"/>
    </xf>
    <xf numFmtId="166" fontId="3" fillId="0" borderId="0" xfId="4" applyNumberFormat="1" applyFont="1" applyAlignment="1">
      <alignment horizontal="center"/>
    </xf>
    <xf numFmtId="166" fontId="20" fillId="0" borderId="0" xfId="2" applyNumberFormat="1" applyFont="1" applyAlignment="1">
      <alignment horizontal="center" vertical="center" wrapText="1"/>
    </xf>
    <xf numFmtId="1" fontId="11" fillId="5" borderId="4" xfId="2" applyNumberFormat="1" applyFill="1" applyBorder="1" applyAlignment="1">
      <alignment horizontal="center"/>
    </xf>
    <xf numFmtId="9" fontId="3" fillId="0" borderId="2" xfId="1" applyFont="1" applyFill="1" applyBorder="1" applyAlignment="1">
      <alignment horizontal="center"/>
    </xf>
    <xf numFmtId="3" fontId="21" fillId="0" borderId="0" xfId="4" applyNumberFormat="1" applyFont="1" applyAlignment="1">
      <alignment horizontal="left"/>
    </xf>
    <xf numFmtId="165" fontId="11" fillId="2" borderId="2" xfId="4" applyNumberFormat="1" applyFont="1" applyFill="1" applyBorder="1" applyAlignment="1">
      <alignment horizontal="center"/>
    </xf>
    <xf numFmtId="1" fontId="3" fillId="2" borderId="2" xfId="4" applyNumberFormat="1" applyFont="1" applyFill="1" applyBorder="1" applyAlignment="1">
      <alignment horizontal="center"/>
    </xf>
    <xf numFmtId="9" fontId="11" fillId="0" borderId="0" xfId="1" applyFont="1" applyAlignment="1">
      <alignment horizontal="left"/>
    </xf>
    <xf numFmtId="0" fontId="3" fillId="0" borderId="9" xfId="4" applyFont="1" applyBorder="1" applyAlignment="1">
      <alignment horizontal="left"/>
    </xf>
    <xf numFmtId="165" fontId="11" fillId="0" borderId="0" xfId="2" applyNumberFormat="1" applyAlignment="1">
      <alignment horizontal="center"/>
    </xf>
    <xf numFmtId="0" fontId="11" fillId="0" borderId="1" xfId="2" applyBorder="1" applyAlignment="1">
      <alignment horizontal="center"/>
    </xf>
    <xf numFmtId="165" fontId="11" fillId="0" borderId="0" xfId="2" applyNumberFormat="1"/>
    <xf numFmtId="165" fontId="3" fillId="0" borderId="0" xfId="4" applyNumberFormat="1" applyFont="1"/>
    <xf numFmtId="165" fontId="6" fillId="0" borderId="0" xfId="3" applyNumberFormat="1" applyFont="1" applyAlignment="1">
      <alignment horizontal="center"/>
    </xf>
    <xf numFmtId="165" fontId="11" fillId="0" borderId="4" xfId="2" applyNumberFormat="1" applyBorder="1" applyAlignment="1">
      <alignment horizontal="center" vertical="center" wrapText="1"/>
    </xf>
    <xf numFmtId="165" fontId="20" fillId="0" borderId="0" xfId="2" applyNumberFormat="1" applyFont="1" applyAlignment="1">
      <alignment horizontal="center" vertical="center" wrapText="1"/>
    </xf>
    <xf numFmtId="165" fontId="10" fillId="0" borderId="0" xfId="2" applyNumberFormat="1" applyFont="1" applyAlignment="1">
      <alignment horizontal="right"/>
    </xf>
    <xf numFmtId="165" fontId="9" fillId="0" borderId="0" xfId="2" applyNumberFormat="1" applyFont="1" applyAlignment="1">
      <alignment horizontal="right"/>
    </xf>
    <xf numFmtId="4" fontId="16" fillId="2" borderId="3" xfId="3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165" fontId="11" fillId="6" borderId="2" xfId="4" applyNumberFormat="1" applyFont="1" applyFill="1" applyBorder="1" applyAlignment="1">
      <alignment horizontal="center"/>
    </xf>
    <xf numFmtId="9" fontId="3" fillId="6" borderId="2" xfId="1" applyFont="1" applyFill="1" applyBorder="1" applyAlignment="1">
      <alignment horizontal="center"/>
    </xf>
    <xf numFmtId="3" fontId="11" fillId="2" borderId="1" xfId="4" applyNumberFormat="1" applyFont="1" applyFill="1" applyBorder="1" applyAlignment="1">
      <alignment horizontal="center"/>
    </xf>
    <xf numFmtId="0" fontId="36" fillId="0" borderId="0" xfId="0" applyFont="1"/>
    <xf numFmtId="1" fontId="11" fillId="0" borderId="0" xfId="2" applyNumberFormat="1" applyAlignment="1">
      <alignment horizontal="center"/>
    </xf>
    <xf numFmtId="0" fontId="11" fillId="5" borderId="4" xfId="2" applyFill="1" applyBorder="1" applyAlignment="1">
      <alignment vertical="center"/>
    </xf>
    <xf numFmtId="0" fontId="16" fillId="0" borderId="0" xfId="3" applyFont="1" applyAlignment="1">
      <alignment horizontal="left"/>
    </xf>
    <xf numFmtId="1" fontId="11" fillId="0" borderId="4" xfId="2" applyNumberFormat="1" applyBorder="1" applyAlignment="1">
      <alignment horizontal="center"/>
    </xf>
    <xf numFmtId="165" fontId="21" fillId="0" borderId="0" xfId="4" applyNumberFormat="1" applyFont="1" applyAlignment="1">
      <alignment horizontal="left"/>
    </xf>
    <xf numFmtId="2" fontId="11" fillId="2" borderId="2" xfId="4" applyNumberFormat="1" applyFont="1" applyFill="1" applyBorder="1" applyAlignment="1">
      <alignment horizontal="center"/>
    </xf>
    <xf numFmtId="0" fontId="16" fillId="0" borderId="4" xfId="3" applyFont="1" applyBorder="1" applyAlignment="1">
      <alignment horizontal="left"/>
    </xf>
    <xf numFmtId="0" fontId="16" fillId="5" borderId="4" xfId="3" applyFont="1" applyFill="1" applyBorder="1" applyAlignment="1">
      <alignment horizontal="left"/>
    </xf>
    <xf numFmtId="0" fontId="11" fillId="0" borderId="2" xfId="2" applyBorder="1" applyAlignment="1">
      <alignment vertical="center"/>
    </xf>
    <xf numFmtId="166" fontId="16" fillId="0" borderId="0" xfId="4" applyNumberFormat="1" applyFont="1" applyAlignment="1">
      <alignment horizontal="center"/>
    </xf>
    <xf numFmtId="0" fontId="14" fillId="0" borderId="0" xfId="4" applyFont="1" applyAlignment="1">
      <alignment horizontal="left"/>
    </xf>
    <xf numFmtId="165" fontId="3" fillId="2" borderId="2" xfId="4" applyNumberFormat="1" applyFont="1" applyFill="1" applyBorder="1" applyAlignment="1">
      <alignment horizontal="center"/>
    </xf>
    <xf numFmtId="165" fontId="3" fillId="6" borderId="2" xfId="4" applyNumberFormat="1" applyFont="1" applyFill="1" applyBorder="1" applyAlignment="1">
      <alignment horizontal="center"/>
    </xf>
    <xf numFmtId="4" fontId="11" fillId="2" borderId="2" xfId="4" applyNumberFormat="1" applyFont="1" applyFill="1" applyBorder="1" applyAlignment="1">
      <alignment horizontal="center"/>
    </xf>
    <xf numFmtId="4" fontId="25" fillId="0" borderId="0" xfId="4" applyNumberFormat="1" applyFont="1"/>
    <xf numFmtId="3" fontId="3" fillId="5" borderId="2" xfId="4" applyNumberFormat="1" applyFont="1" applyFill="1" applyBorder="1" applyAlignment="1">
      <alignment horizontal="center"/>
    </xf>
    <xf numFmtId="165" fontId="3" fillId="5" borderId="2" xfId="4" applyNumberFormat="1" applyFont="1" applyFill="1" applyBorder="1" applyAlignment="1">
      <alignment horizontal="center"/>
    </xf>
    <xf numFmtId="167" fontId="3" fillId="5" borderId="2" xfId="1" applyNumberFormat="1" applyFont="1" applyFill="1" applyBorder="1" applyAlignment="1">
      <alignment horizontal="center"/>
    </xf>
    <xf numFmtId="167" fontId="3" fillId="0" borderId="0" xfId="1" applyNumberFormat="1" applyFont="1" applyBorder="1" applyAlignment="1">
      <alignment horizontal="center"/>
    </xf>
    <xf numFmtId="166" fontId="3" fillId="2" borderId="2" xfId="1" applyNumberFormat="1" applyFont="1" applyFill="1" applyBorder="1" applyAlignment="1">
      <alignment horizontal="center"/>
    </xf>
    <xf numFmtId="9" fontId="0" fillId="0" borderId="0" xfId="1" applyFont="1" applyFill="1" applyAlignment="1">
      <alignment horizontal="center"/>
    </xf>
    <xf numFmtId="0" fontId="14" fillId="0" borderId="0" xfId="4" applyFont="1"/>
    <xf numFmtId="0" fontId="21" fillId="0" borderId="0" xfId="3" applyFont="1" applyAlignment="1">
      <alignment horizontal="left"/>
    </xf>
    <xf numFmtId="0" fontId="21" fillId="0" borderId="0" xfId="4" applyFont="1"/>
    <xf numFmtId="9" fontId="3" fillId="0" borderId="3" xfId="1" applyFont="1" applyFill="1" applyBorder="1" applyAlignment="1">
      <alignment horizontal="center"/>
    </xf>
    <xf numFmtId="2" fontId="3" fillId="2" borderId="3" xfId="4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165" fontId="21" fillId="5" borderId="2" xfId="4" applyNumberFormat="1" applyFont="1" applyFill="1" applyBorder="1" applyAlignment="1">
      <alignment horizontal="center"/>
    </xf>
    <xf numFmtId="0" fontId="20" fillId="0" borderId="0" xfId="2" applyFont="1" applyAlignment="1">
      <alignment horizontal="left" vertical="center"/>
    </xf>
    <xf numFmtId="167" fontId="3" fillId="6" borderId="2" xfId="1" applyNumberFormat="1" applyFont="1" applyFill="1" applyBorder="1" applyAlignment="1">
      <alignment horizontal="center"/>
    </xf>
    <xf numFmtId="0" fontId="3" fillId="0" borderId="2" xfId="4" applyFont="1" applyBorder="1" applyAlignment="1">
      <alignment horizontal="center"/>
    </xf>
    <xf numFmtId="166" fontId="21" fillId="0" borderId="4" xfId="2" applyNumberFormat="1" applyFont="1" applyBorder="1" applyAlignment="1">
      <alignment horizontal="center"/>
    </xf>
    <xf numFmtId="166" fontId="21" fillId="5" borderId="4" xfId="2" applyNumberFormat="1" applyFont="1" applyFill="1" applyBorder="1" applyAlignment="1">
      <alignment horizontal="center"/>
    </xf>
    <xf numFmtId="0" fontId="33" fillId="0" borderId="0" xfId="4" applyFont="1" applyAlignment="1">
      <alignment horizontal="left"/>
    </xf>
    <xf numFmtId="0" fontId="11" fillId="0" borderId="2" xfId="4" applyFont="1" applyBorder="1"/>
    <xf numFmtId="0" fontId="39" fillId="0" borderId="0" xfId="2" applyFont="1" applyAlignment="1">
      <alignment horizontal="left" vertical="center"/>
    </xf>
    <xf numFmtId="0" fontId="38" fillId="0" borderId="0" xfId="3" applyFont="1" applyAlignment="1">
      <alignment horizontal="left"/>
    </xf>
    <xf numFmtId="0" fontId="3" fillId="0" borderId="8" xfId="4" applyFont="1" applyBorder="1" applyAlignment="1">
      <alignment horizontal="center"/>
    </xf>
    <xf numFmtId="3" fontId="3" fillId="0" borderId="0" xfId="4" applyNumberFormat="1" applyFont="1" applyAlignment="1">
      <alignment horizontal="center"/>
    </xf>
    <xf numFmtId="0" fontId="16" fillId="0" borderId="9" xfId="4" applyFont="1" applyBorder="1"/>
    <xf numFmtId="0" fontId="21" fillId="0" borderId="2" xfId="4" applyFont="1" applyBorder="1" applyAlignment="1">
      <alignment horizontal="left"/>
    </xf>
    <xf numFmtId="165" fontId="38" fillId="5" borderId="2" xfId="4" applyNumberFormat="1" applyFont="1" applyFill="1" applyBorder="1" applyAlignment="1">
      <alignment horizontal="center"/>
    </xf>
    <xf numFmtId="9" fontId="36" fillId="0" borderId="0" xfId="1" applyFont="1" applyAlignment="1">
      <alignment horizontal="center"/>
    </xf>
    <xf numFmtId="166" fontId="33" fillId="0" borderId="0" xfId="4" applyNumberFormat="1" applyFont="1" applyAlignment="1">
      <alignment horizontal="left"/>
    </xf>
    <xf numFmtId="0" fontId="21" fillId="0" borderId="0" xfId="4" applyFont="1" applyAlignment="1">
      <alignment horizontal="center"/>
    </xf>
    <xf numFmtId="166" fontId="21" fillId="2" borderId="2" xfId="4" applyNumberFormat="1" applyFont="1" applyFill="1" applyBorder="1" applyAlignment="1">
      <alignment horizontal="center"/>
    </xf>
    <xf numFmtId="0" fontId="33" fillId="0" borderId="2" xfId="0" applyFont="1" applyBorder="1"/>
    <xf numFmtId="1" fontId="11" fillId="0" borderId="0" xfId="4" applyNumberFormat="1" applyFont="1" applyAlignment="1">
      <alignment horizontal="center"/>
    </xf>
    <xf numFmtId="166" fontId="11" fillId="0" borderId="0" xfId="4" applyNumberFormat="1" applyFont="1" applyAlignment="1">
      <alignment horizontal="center"/>
    </xf>
    <xf numFmtId="2" fontId="11" fillId="0" borderId="0" xfId="4" applyNumberFormat="1" applyFont="1" applyAlignment="1">
      <alignment horizontal="center"/>
    </xf>
    <xf numFmtId="0" fontId="3" fillId="0" borderId="3" xfId="4" applyFont="1" applyBorder="1" applyAlignment="1">
      <alignment horizontal="left"/>
    </xf>
    <xf numFmtId="166" fontId="11" fillId="2" borderId="3" xfId="4" applyNumberFormat="1" applyFont="1" applyFill="1" applyBorder="1" applyAlignment="1">
      <alignment horizontal="center"/>
    </xf>
    <xf numFmtId="165" fontId="3" fillId="0" borderId="13" xfId="4" applyNumberFormat="1" applyFont="1" applyBorder="1" applyAlignment="1">
      <alignment horizontal="center"/>
    </xf>
    <xf numFmtId="0" fontId="11" fillId="2" borderId="1" xfId="4" applyFont="1" applyFill="1" applyBorder="1" applyAlignment="1">
      <alignment horizontal="center"/>
    </xf>
    <xf numFmtId="166" fontId="21" fillId="0" borderId="0" xfId="4" applyNumberFormat="1" applyFont="1" applyAlignment="1">
      <alignment horizontal="left"/>
    </xf>
    <xf numFmtId="1" fontId="40" fillId="0" borderId="4" xfId="0" applyNumberFormat="1" applyFont="1" applyBorder="1" applyAlignment="1">
      <alignment horizontal="center"/>
    </xf>
    <xf numFmtId="0" fontId="3" fillId="0" borderId="4" xfId="4" applyFont="1" applyBorder="1"/>
    <xf numFmtId="0" fontId="3" fillId="5" borderId="4" xfId="4" applyFont="1" applyFill="1" applyBorder="1"/>
    <xf numFmtId="168" fontId="3" fillId="0" borderId="4" xfId="4" applyNumberFormat="1" applyFont="1" applyBorder="1"/>
    <xf numFmtId="164" fontId="3" fillId="0" borderId="4" xfId="4" applyNumberFormat="1" applyFont="1" applyBorder="1" applyAlignment="1">
      <alignment horizontal="center"/>
    </xf>
    <xf numFmtId="164" fontId="3" fillId="5" borderId="4" xfId="4" applyNumberFormat="1" applyFont="1" applyFill="1" applyBorder="1" applyAlignment="1">
      <alignment horizontal="center"/>
    </xf>
    <xf numFmtId="0" fontId="25" fillId="0" borderId="4" xfId="4" applyFont="1" applyBorder="1"/>
    <xf numFmtId="1" fontId="3" fillId="0" borderId="0" xfId="3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1" xfId="4" applyFont="1" applyBorder="1" applyAlignment="1">
      <alignment horizontal="center"/>
    </xf>
    <xf numFmtId="0" fontId="3" fillId="0" borderId="3" xfId="4" applyFont="1" applyBorder="1" applyAlignment="1">
      <alignment horizontal="center"/>
    </xf>
    <xf numFmtId="0" fontId="25" fillId="5" borderId="4" xfId="4" applyFont="1" applyFill="1" applyBorder="1"/>
    <xf numFmtId="4" fontId="16" fillId="8" borderId="3" xfId="3" applyNumberFormat="1" applyFont="1" applyFill="1" applyBorder="1" applyAlignment="1">
      <alignment horizontal="center"/>
    </xf>
    <xf numFmtId="2" fontId="16" fillId="8" borderId="4" xfId="3" applyNumberFormat="1" applyFont="1" applyFill="1" applyBorder="1" applyAlignment="1">
      <alignment horizontal="center"/>
    </xf>
    <xf numFmtId="4" fontId="25" fillId="0" borderId="4" xfId="4" applyNumberFormat="1" applyFont="1" applyBorder="1"/>
    <xf numFmtId="4" fontId="25" fillId="5" borderId="4" xfId="4" applyNumberFormat="1" applyFont="1" applyFill="1" applyBorder="1"/>
    <xf numFmtId="0" fontId="3" fillId="0" borderId="10" xfId="4" applyFont="1" applyBorder="1"/>
    <xf numFmtId="4" fontId="32" fillId="0" borderId="0" xfId="2" applyNumberFormat="1" applyFont="1" applyAlignment="1">
      <alignment horizontal="center"/>
    </xf>
    <xf numFmtId="0" fontId="3" fillId="0" borderId="2" xfId="3" applyFont="1" applyBorder="1" applyAlignment="1">
      <alignment horizontal="center"/>
    </xf>
    <xf numFmtId="0" fontId="3" fillId="0" borderId="1" xfId="4" applyFont="1" applyBorder="1"/>
    <xf numFmtId="165" fontId="3" fillId="0" borderId="2" xfId="4" applyNumberFormat="1" applyFont="1" applyBorder="1"/>
    <xf numFmtId="166" fontId="3" fillId="0" borderId="2" xfId="4" applyNumberFormat="1" applyFont="1" applyBorder="1"/>
    <xf numFmtId="0" fontId="3" fillId="0" borderId="0" xfId="4" applyFont="1" applyAlignment="1">
      <alignment horizontal="center" vertical="center"/>
    </xf>
    <xf numFmtId="165" fontId="3" fillId="15" borderId="0" xfId="4" applyNumberFormat="1" applyFont="1" applyFill="1"/>
    <xf numFmtId="0" fontId="3" fillId="15" borderId="0" xfId="4" applyFont="1" applyFill="1"/>
    <xf numFmtId="0" fontId="8" fillId="11" borderId="1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/>
    </xf>
    <xf numFmtId="0" fontId="8" fillId="13" borderId="1" xfId="0" applyFont="1" applyFill="1" applyBorder="1" applyAlignment="1">
      <alignment horizontal="center" vertical="center" wrapText="1"/>
    </xf>
    <xf numFmtId="0" fontId="8" fillId="13" borderId="1" xfId="0" applyFont="1" applyFill="1" applyBorder="1" applyAlignment="1">
      <alignment horizontal="center" vertical="center"/>
    </xf>
    <xf numFmtId="2" fontId="3" fillId="0" borderId="4" xfId="4" applyNumberFormat="1" applyFont="1" applyBorder="1" applyAlignment="1">
      <alignment horizontal="center"/>
    </xf>
    <xf numFmtId="2" fontId="3" fillId="5" borderId="4" xfId="4" applyNumberFormat="1" applyFont="1" applyFill="1" applyBorder="1" applyAlignment="1">
      <alignment horizontal="center"/>
    </xf>
    <xf numFmtId="0" fontId="8" fillId="11" borderId="28" xfId="0" applyFont="1" applyFill="1" applyBorder="1" applyAlignment="1">
      <alignment horizontal="center" vertical="center" wrapText="1"/>
    </xf>
    <xf numFmtId="0" fontId="8" fillId="13" borderId="28" xfId="0" applyFont="1" applyFill="1" applyBorder="1" applyAlignment="1">
      <alignment horizontal="center" vertical="center" wrapText="1"/>
    </xf>
    <xf numFmtId="0" fontId="8" fillId="13" borderId="29" xfId="0" applyFont="1" applyFill="1" applyBorder="1" applyAlignment="1">
      <alignment horizontal="center" vertical="center"/>
    </xf>
    <xf numFmtId="4" fontId="43" fillId="7" borderId="25" xfId="0" applyNumberFormat="1" applyFont="1" applyFill="1" applyBorder="1" applyAlignment="1">
      <alignment horizontal="center" vertical="center"/>
    </xf>
    <xf numFmtId="1" fontId="41" fillId="14" borderId="26" xfId="0" applyNumberFormat="1" applyFont="1" applyFill="1" applyBorder="1" applyAlignment="1">
      <alignment horizontal="center" vertical="center"/>
    </xf>
    <xf numFmtId="9" fontId="43" fillId="7" borderId="26" xfId="1" applyFont="1" applyFill="1" applyBorder="1" applyAlignment="1">
      <alignment horizontal="center" vertical="center"/>
    </xf>
    <xf numFmtId="0" fontId="41" fillId="10" borderId="30" xfId="0" applyFont="1" applyFill="1" applyBorder="1" applyAlignment="1">
      <alignment horizontal="left" vertical="center"/>
    </xf>
    <xf numFmtId="0" fontId="41" fillId="7" borderId="16" xfId="0" applyFont="1" applyFill="1" applyBorder="1" applyAlignment="1">
      <alignment horizontal="left" vertical="center"/>
    </xf>
    <xf numFmtId="4" fontId="11" fillId="0" borderId="1" xfId="2" applyNumberFormat="1" applyBorder="1" applyAlignment="1">
      <alignment horizontal="center"/>
    </xf>
    <xf numFmtId="0" fontId="40" fillId="0" borderId="18" xfId="0" applyFont="1" applyBorder="1"/>
    <xf numFmtId="4" fontId="29" fillId="0" borderId="25" xfId="0" applyNumberFormat="1" applyFont="1" applyBorder="1" applyAlignment="1">
      <alignment horizontal="center" vertical="center"/>
    </xf>
    <xf numFmtId="9" fontId="29" fillId="0" borderId="26" xfId="1" applyFont="1" applyBorder="1" applyAlignment="1">
      <alignment horizontal="center" vertical="center"/>
    </xf>
    <xf numFmtId="2" fontId="29" fillId="0" borderId="26" xfId="0" applyNumberFormat="1" applyFont="1" applyBorder="1" applyAlignment="1">
      <alignment horizontal="center" vertical="center"/>
    </xf>
    <xf numFmtId="9" fontId="29" fillId="0" borderId="27" xfId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166" fontId="3" fillId="2" borderId="2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40" fillId="0" borderId="0" xfId="0" applyFont="1"/>
    <xf numFmtId="4" fontId="40" fillId="0" borderId="0" xfId="0" applyNumberFormat="1" applyFont="1"/>
    <xf numFmtId="0" fontId="40" fillId="0" borderId="1" xfId="0" applyFont="1" applyBorder="1"/>
    <xf numFmtId="0" fontId="40" fillId="0" borderId="2" xfId="0" applyFont="1" applyBorder="1"/>
    <xf numFmtId="0" fontId="40" fillId="0" borderId="3" xfId="0" applyFont="1" applyBorder="1"/>
    <xf numFmtId="0" fontId="3" fillId="0" borderId="8" xfId="4" applyFont="1" applyBorder="1" applyAlignment="1">
      <alignment horizontal="left"/>
    </xf>
    <xf numFmtId="0" fontId="3" fillId="0" borderId="10" xfId="4" applyFont="1" applyBorder="1" applyAlignment="1">
      <alignment horizontal="left"/>
    </xf>
    <xf numFmtId="0" fontId="21" fillId="0" borderId="10" xfId="4" applyFont="1" applyBorder="1" applyAlignment="1">
      <alignment horizontal="left"/>
    </xf>
    <xf numFmtId="0" fontId="3" fillId="0" borderId="12" xfId="4" applyFont="1" applyBorder="1"/>
    <xf numFmtId="0" fontId="3" fillId="0" borderId="12" xfId="4" applyFont="1" applyBorder="1" applyAlignment="1">
      <alignment horizontal="left"/>
    </xf>
    <xf numFmtId="0" fontId="11" fillId="0" borderId="10" xfId="4" applyFont="1" applyBorder="1"/>
    <xf numFmtId="0" fontId="3" fillId="0" borderId="10" xfId="0" applyFont="1" applyBorder="1" applyAlignment="1">
      <alignment horizontal="center"/>
    </xf>
    <xf numFmtId="0" fontId="20" fillId="0" borderId="4" xfId="2" applyFont="1" applyBorder="1"/>
    <xf numFmtId="164" fontId="3" fillId="0" borderId="0" xfId="4" applyNumberFormat="1" applyFont="1" applyAlignment="1">
      <alignment horizontal="center"/>
    </xf>
    <xf numFmtId="0" fontId="20" fillId="0" borderId="0" xfId="3" applyFont="1" applyAlignment="1">
      <alignment horizontal="left"/>
    </xf>
    <xf numFmtId="0" fontId="46" fillId="0" borderId="0" xfId="4" applyFont="1" applyAlignment="1">
      <alignment horizontal="center"/>
    </xf>
    <xf numFmtId="0" fontId="46" fillId="0" borderId="0" xfId="4" applyFont="1"/>
    <xf numFmtId="0" fontId="45" fillId="0" borderId="0" xfId="4" applyFont="1" applyAlignment="1">
      <alignment wrapText="1"/>
    </xf>
    <xf numFmtId="0" fontId="46" fillId="0" borderId="0" xfId="2" applyFont="1" applyAlignment="1">
      <alignment vertical="center"/>
    </xf>
    <xf numFmtId="0" fontId="46" fillId="0" borderId="0" xfId="3" applyFont="1" applyAlignment="1">
      <alignment horizontal="center"/>
    </xf>
    <xf numFmtId="9" fontId="40" fillId="0" borderId="46" xfId="1" applyFont="1" applyBorder="1" applyAlignment="1">
      <alignment horizontal="center"/>
    </xf>
    <xf numFmtId="0" fontId="11" fillId="0" borderId="4" xfId="2" applyBorder="1"/>
    <xf numFmtId="0" fontId="20" fillId="0" borderId="4" xfId="2" applyFont="1" applyBorder="1" applyAlignment="1">
      <alignment horizontal="center" vertical="center" wrapText="1"/>
    </xf>
    <xf numFmtId="2" fontId="11" fillId="0" borderId="4" xfId="2" applyNumberFormat="1" applyBorder="1" applyAlignment="1">
      <alignment horizontal="center" vertical="center" wrapText="1"/>
    </xf>
    <xf numFmtId="0" fontId="47" fillId="2" borderId="0" xfId="0" applyFont="1" applyFill="1"/>
    <xf numFmtId="0" fontId="47" fillId="2" borderId="0" xfId="0" applyFont="1" applyFill="1" applyAlignment="1">
      <alignment horizontal="center"/>
    </xf>
    <xf numFmtId="4" fontId="11" fillId="0" borderId="3" xfId="2" applyNumberForma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4" fontId="3" fillId="0" borderId="4" xfId="4" applyNumberFormat="1" applyFont="1" applyBorder="1" applyAlignment="1">
      <alignment horizontal="center"/>
    </xf>
    <xf numFmtId="2" fontId="25" fillId="0" borderId="0" xfId="4" applyNumberFormat="1" applyFont="1"/>
    <xf numFmtId="3" fontId="40" fillId="0" borderId="18" xfId="0" applyNumberFormat="1" applyFont="1" applyBorder="1" applyAlignment="1">
      <alignment horizontal="center"/>
    </xf>
    <xf numFmtId="0" fontId="40" fillId="0" borderId="44" xfId="0" applyFont="1" applyBorder="1"/>
    <xf numFmtId="0" fontId="40" fillId="0" borderId="45" xfId="0" applyFont="1" applyBorder="1"/>
    <xf numFmtId="1" fontId="40" fillId="0" borderId="2" xfId="0" applyNumberFormat="1" applyFont="1" applyBorder="1" applyAlignment="1">
      <alignment horizontal="center"/>
    </xf>
    <xf numFmtId="9" fontId="40" fillId="0" borderId="2" xfId="1" applyFont="1" applyBorder="1" applyAlignment="1">
      <alignment horizontal="center"/>
    </xf>
    <xf numFmtId="0" fontId="40" fillId="0" borderId="40" xfId="0" applyFont="1" applyBorder="1"/>
    <xf numFmtId="9" fontId="40" fillId="0" borderId="19" xfId="1" applyFont="1" applyBorder="1" applyAlignment="1">
      <alignment horizontal="center"/>
    </xf>
    <xf numFmtId="0" fontId="40" fillId="0" borderId="4" xfId="0" applyFont="1" applyBorder="1"/>
    <xf numFmtId="0" fontId="40" fillId="0" borderId="4" xfId="0" applyFont="1" applyBorder="1" applyAlignment="1">
      <alignment horizontal="center"/>
    </xf>
    <xf numFmtId="9" fontId="40" fillId="0" borderId="21" xfId="1" applyFont="1" applyBorder="1" applyAlignment="1">
      <alignment horizontal="center"/>
    </xf>
    <xf numFmtId="0" fontId="40" fillId="0" borderId="21" xfId="0" applyFont="1" applyBorder="1"/>
    <xf numFmtId="0" fontId="40" fillId="0" borderId="29" xfId="0" applyFont="1" applyBorder="1"/>
    <xf numFmtId="0" fontId="40" fillId="0" borderId="23" xfId="0" applyFont="1" applyBorder="1"/>
    <xf numFmtId="0" fontId="40" fillId="0" borderId="24" xfId="0" applyFont="1" applyBorder="1"/>
    <xf numFmtId="4" fontId="40" fillId="0" borderId="18" xfId="0" applyNumberFormat="1" applyFont="1" applyBorder="1"/>
    <xf numFmtId="4" fontId="40" fillId="0" borderId="4" xfId="0" applyNumberFormat="1" applyFont="1" applyBorder="1"/>
    <xf numFmtId="0" fontId="40" fillId="0" borderId="19" xfId="0" applyFont="1" applyBorder="1"/>
    <xf numFmtId="0" fontId="40" fillId="0" borderId="1" xfId="0" applyFont="1" applyBorder="1" applyAlignment="1">
      <alignment horizontal="center"/>
    </xf>
    <xf numFmtId="4" fontId="40" fillId="0" borderId="1" xfId="0" applyNumberFormat="1" applyFont="1" applyBorder="1"/>
    <xf numFmtId="4" fontId="29" fillId="0" borderId="0" xfId="0" applyNumberFormat="1" applyFont="1"/>
    <xf numFmtId="0" fontId="40" fillId="0" borderId="3" xfId="0" applyFont="1" applyBorder="1" applyAlignment="1">
      <alignment horizontal="center"/>
    </xf>
    <xf numFmtId="9" fontId="40" fillId="0" borderId="36" xfId="1" applyFont="1" applyBorder="1" applyAlignment="1">
      <alignment horizontal="center"/>
    </xf>
    <xf numFmtId="4" fontId="40" fillId="0" borderId="25" xfId="0" applyNumberFormat="1" applyFont="1" applyBorder="1" applyAlignment="1">
      <alignment horizontal="center"/>
    </xf>
    <xf numFmtId="1" fontId="40" fillId="0" borderId="26" xfId="0" applyNumberFormat="1" applyFont="1" applyBorder="1" applyAlignment="1">
      <alignment horizontal="center"/>
    </xf>
    <xf numFmtId="0" fontId="40" fillId="0" borderId="26" xfId="0" applyFont="1" applyBorder="1" applyAlignment="1">
      <alignment horizontal="center"/>
    </xf>
    <xf numFmtId="9" fontId="40" fillId="0" borderId="26" xfId="1" applyFont="1" applyBorder="1" applyAlignment="1">
      <alignment horizontal="center"/>
    </xf>
    <xf numFmtId="0" fontId="40" fillId="0" borderId="26" xfId="0" applyFont="1" applyBorder="1"/>
    <xf numFmtId="2" fontId="40" fillId="0" borderId="26" xfId="0" applyNumberFormat="1" applyFont="1" applyBorder="1" applyAlignment="1">
      <alignment horizontal="center"/>
    </xf>
    <xf numFmtId="9" fontId="40" fillId="0" borderId="27" xfId="1" applyFont="1" applyBorder="1" applyAlignment="1">
      <alignment horizontal="center"/>
    </xf>
    <xf numFmtId="0" fontId="44" fillId="0" borderId="53" xfId="0" applyFont="1" applyBorder="1"/>
    <xf numFmtId="3" fontId="40" fillId="0" borderId="26" xfId="0" applyNumberFormat="1" applyFont="1" applyBorder="1" applyAlignment="1">
      <alignment horizontal="center"/>
    </xf>
    <xf numFmtId="0" fontId="40" fillId="0" borderId="54" xfId="0" applyFont="1" applyBorder="1"/>
    <xf numFmtId="0" fontId="40" fillId="0" borderId="27" xfId="0" applyFont="1" applyBorder="1"/>
    <xf numFmtId="0" fontId="49" fillId="0" borderId="0" xfId="0" applyFont="1" applyAlignment="1">
      <alignment horizontal="center"/>
    </xf>
    <xf numFmtId="4" fontId="48" fillId="0" borderId="0" xfId="0" applyNumberFormat="1" applyFont="1" applyAlignment="1">
      <alignment horizontal="right"/>
    </xf>
    <xf numFmtId="1" fontId="48" fillId="0" borderId="0" xfId="0" applyNumberFormat="1" applyFont="1" applyAlignment="1">
      <alignment horizontal="right"/>
    </xf>
    <xf numFmtId="167" fontId="48" fillId="0" borderId="0" xfId="0" applyNumberFormat="1" applyFont="1" applyAlignment="1">
      <alignment horizontal="right"/>
    </xf>
    <xf numFmtId="0" fontId="40" fillId="0" borderId="0" xfId="0" applyFont="1" applyAlignment="1">
      <alignment horizontal="center"/>
    </xf>
    <xf numFmtId="0" fontId="11" fillId="0" borderId="0" xfId="4" applyFont="1"/>
    <xf numFmtId="1" fontId="11" fillId="2" borderId="2" xfId="4" applyNumberFormat="1" applyFont="1" applyFill="1" applyBorder="1" applyAlignment="1">
      <alignment horizontal="center"/>
    </xf>
    <xf numFmtId="0" fontId="40" fillId="0" borderId="48" xfId="0" applyFont="1" applyBorder="1"/>
    <xf numFmtId="0" fontId="40" fillId="0" borderId="55" xfId="0" applyFont="1" applyBorder="1"/>
    <xf numFmtId="0" fontId="40" fillId="0" borderId="46" xfId="0" applyFont="1" applyBorder="1"/>
    <xf numFmtId="0" fontId="40" fillId="0" borderId="56" xfId="0" applyFont="1" applyBorder="1"/>
    <xf numFmtId="0" fontId="40" fillId="0" borderId="57" xfId="0" applyFont="1" applyBorder="1"/>
    <xf numFmtId="9" fontId="40" fillId="0" borderId="55" xfId="1" applyFont="1" applyBorder="1" applyAlignment="1">
      <alignment horizontal="center"/>
    </xf>
    <xf numFmtId="0" fontId="40" fillId="0" borderId="49" xfId="0" applyFont="1" applyBorder="1"/>
    <xf numFmtId="0" fontId="11" fillId="0" borderId="1" xfId="4" applyFont="1" applyBorder="1"/>
    <xf numFmtId="0" fontId="29" fillId="0" borderId="0" xfId="0" applyFont="1" applyAlignment="1">
      <alignment horizontal="center"/>
    </xf>
    <xf numFmtId="0" fontId="30" fillId="0" borderId="0" xfId="0" applyFont="1"/>
    <xf numFmtId="4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22" fillId="0" borderId="0" xfId="3" applyFont="1"/>
    <xf numFmtId="9" fontId="40" fillId="0" borderId="4" xfId="1" applyFont="1" applyBorder="1" applyAlignment="1">
      <alignment horizontal="center"/>
    </xf>
    <xf numFmtId="4" fontId="40" fillId="0" borderId="2" xfId="0" applyNumberFormat="1" applyFont="1" applyBorder="1"/>
    <xf numFmtId="4" fontId="40" fillId="0" borderId="3" xfId="0" applyNumberFormat="1" applyFont="1" applyBorder="1"/>
    <xf numFmtId="0" fontId="40" fillId="0" borderId="2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41" fillId="0" borderId="4" xfId="0" applyFont="1" applyBorder="1"/>
    <xf numFmtId="4" fontId="30" fillId="0" borderId="4" xfId="0" applyNumberFormat="1" applyFont="1" applyBorder="1" applyAlignment="1">
      <alignment horizontal="center"/>
    </xf>
    <xf numFmtId="9" fontId="30" fillId="0" borderId="4" xfId="1" applyFont="1" applyBorder="1" applyAlignment="1">
      <alignment horizontal="center"/>
    </xf>
    <xf numFmtId="0" fontId="16" fillId="14" borderId="0" xfId="4" applyFont="1" applyFill="1" applyAlignment="1">
      <alignment horizontal="center"/>
    </xf>
    <xf numFmtId="0" fontId="3" fillId="2" borderId="0" xfId="4" applyFont="1" applyFill="1" applyAlignment="1">
      <alignment horizontal="center"/>
    </xf>
    <xf numFmtId="166" fontId="16" fillId="14" borderId="0" xfId="4" applyNumberFormat="1" applyFont="1" applyFill="1" applyAlignment="1">
      <alignment horizontal="center"/>
    </xf>
    <xf numFmtId="0" fontId="50" fillId="0" borderId="2" xfId="4" applyFont="1" applyBorder="1"/>
    <xf numFmtId="0" fontId="50" fillId="0" borderId="10" xfId="4" applyFont="1" applyBorder="1"/>
    <xf numFmtId="0" fontId="50" fillId="0" borderId="10" xfId="4" applyFont="1" applyBorder="1" applyAlignment="1">
      <alignment horizontal="center"/>
    </xf>
    <xf numFmtId="3" fontId="50" fillId="0" borderId="2" xfId="4" applyNumberFormat="1" applyFont="1" applyBorder="1" applyAlignment="1">
      <alignment horizontal="center"/>
    </xf>
    <xf numFmtId="166" fontId="50" fillId="2" borderId="2" xfId="4" applyNumberFormat="1" applyFont="1" applyFill="1" applyBorder="1" applyAlignment="1">
      <alignment horizontal="center"/>
    </xf>
    <xf numFmtId="9" fontId="40" fillId="0" borderId="1" xfId="1" applyFont="1" applyBorder="1"/>
    <xf numFmtId="9" fontId="30" fillId="0" borderId="0" xfId="1" applyFont="1" applyBorder="1" applyAlignment="1">
      <alignment horizontal="center"/>
    </xf>
    <xf numFmtId="1" fontId="40" fillId="0" borderId="59" xfId="0" applyNumberFormat="1" applyFont="1" applyBorder="1" applyAlignment="1">
      <alignment horizontal="center"/>
    </xf>
    <xf numFmtId="0" fontId="40" fillId="0" borderId="59" xfId="0" applyFont="1" applyBorder="1" applyAlignment="1">
      <alignment horizontal="center"/>
    </xf>
    <xf numFmtId="0" fontId="40" fillId="0" borderId="59" xfId="0" applyFont="1" applyBorder="1"/>
    <xf numFmtId="4" fontId="40" fillId="0" borderId="59" xfId="0" applyNumberFormat="1" applyFont="1" applyBorder="1"/>
    <xf numFmtId="0" fontId="40" fillId="0" borderId="60" xfId="0" applyFont="1" applyBorder="1"/>
    <xf numFmtId="0" fontId="40" fillId="0" borderId="23" xfId="0" applyFont="1" applyBorder="1" applyAlignment="1">
      <alignment horizontal="center"/>
    </xf>
    <xf numFmtId="2" fontId="3" fillId="0" borderId="0" xfId="4" applyNumberFormat="1" applyFont="1"/>
    <xf numFmtId="14" fontId="3" fillId="0" borderId="4" xfId="3" applyNumberFormat="1" applyFont="1" applyBorder="1" applyAlignment="1">
      <alignment horizontal="center"/>
    </xf>
    <xf numFmtId="14" fontId="11" fillId="0" borderId="10" xfId="2" applyNumberFormat="1" applyBorder="1" applyAlignment="1">
      <alignment horizontal="center"/>
    </xf>
    <xf numFmtId="14" fontId="3" fillId="5" borderId="4" xfId="3" applyNumberFormat="1" applyFont="1" applyFill="1" applyBorder="1" applyAlignment="1">
      <alignment horizontal="center"/>
    </xf>
    <xf numFmtId="4" fontId="40" fillId="0" borderId="1" xfId="0" applyNumberFormat="1" applyFont="1" applyBorder="1" applyAlignment="1">
      <alignment horizontal="right"/>
    </xf>
    <xf numFmtId="4" fontId="40" fillId="0" borderId="2" xfId="0" applyNumberFormat="1" applyFont="1" applyBorder="1" applyAlignment="1">
      <alignment horizontal="right"/>
    </xf>
    <xf numFmtId="0" fontId="30" fillId="0" borderId="1" xfId="0" applyFont="1" applyBorder="1" applyAlignment="1">
      <alignment horizontal="center"/>
    </xf>
    <xf numFmtId="0" fontId="30" fillId="0" borderId="2" xfId="0" applyFont="1" applyBorder="1" applyAlignment="1">
      <alignment horizontal="center"/>
    </xf>
    <xf numFmtId="0" fontId="30" fillId="0" borderId="3" xfId="0" applyFont="1" applyBorder="1" applyAlignment="1">
      <alignment horizontal="center"/>
    </xf>
    <xf numFmtId="9" fontId="30" fillId="0" borderId="1" xfId="1" applyFont="1" applyBorder="1" applyAlignment="1">
      <alignment horizontal="center"/>
    </xf>
    <xf numFmtId="9" fontId="30" fillId="0" borderId="2" xfId="1" applyFont="1" applyBorder="1" applyAlignment="1">
      <alignment horizontal="center"/>
    </xf>
    <xf numFmtId="9" fontId="30" fillId="0" borderId="3" xfId="1" applyFont="1" applyBorder="1" applyAlignment="1">
      <alignment horizontal="center"/>
    </xf>
    <xf numFmtId="0" fontId="11" fillId="0" borderId="3" xfId="2" applyBorder="1" applyAlignment="1">
      <alignment horizontal="center"/>
    </xf>
    <xf numFmtId="0" fontId="3" fillId="2" borderId="3" xfId="4" applyFont="1" applyFill="1" applyBorder="1" applyAlignment="1">
      <alignment horizontal="center"/>
    </xf>
    <xf numFmtId="0" fontId="3" fillId="0" borderId="14" xfId="4" applyFont="1" applyBorder="1"/>
    <xf numFmtId="0" fontId="3" fillId="0" borderId="14" xfId="4" applyFont="1" applyBorder="1" applyAlignment="1">
      <alignment horizontal="center"/>
    </xf>
    <xf numFmtId="3" fontId="3" fillId="0" borderId="14" xfId="4" applyNumberFormat="1" applyFont="1" applyBorder="1" applyAlignment="1">
      <alignment horizontal="center"/>
    </xf>
    <xf numFmtId="0" fontId="11" fillId="2" borderId="3" xfId="4" applyFont="1" applyFill="1" applyBorder="1" applyAlignment="1">
      <alignment horizontal="center"/>
    </xf>
    <xf numFmtId="0" fontId="11" fillId="0" borderId="3" xfId="4" applyFont="1" applyBorder="1"/>
    <xf numFmtId="0" fontId="50" fillId="0" borderId="3" xfId="4" applyFont="1" applyBorder="1"/>
    <xf numFmtId="0" fontId="50" fillId="0" borderId="12" xfId="4" applyFont="1" applyBorder="1"/>
    <xf numFmtId="0" fontId="50" fillId="0" borderId="12" xfId="4" applyFont="1" applyBorder="1" applyAlignment="1">
      <alignment horizontal="center"/>
    </xf>
    <xf numFmtId="3" fontId="50" fillId="0" borderId="3" xfId="4" applyNumberFormat="1" applyFont="1" applyBorder="1" applyAlignment="1">
      <alignment horizontal="center"/>
    </xf>
    <xf numFmtId="166" fontId="50" fillId="2" borderId="3" xfId="4" applyNumberFormat="1" applyFont="1" applyFill="1" applyBorder="1" applyAlignment="1">
      <alignment horizontal="center"/>
    </xf>
    <xf numFmtId="0" fontId="3" fillId="0" borderId="0" xfId="3" applyFont="1" applyAlignment="1">
      <alignment horizontal="left"/>
    </xf>
    <xf numFmtId="4" fontId="30" fillId="0" borderId="3" xfId="0" applyNumberFormat="1" applyFont="1" applyBorder="1" applyAlignment="1">
      <alignment horizontal="center"/>
    </xf>
    <xf numFmtId="0" fontId="41" fillId="2" borderId="4" xfId="0" applyFont="1" applyFill="1" applyBorder="1" applyAlignment="1">
      <alignment vertical="center"/>
    </xf>
    <xf numFmtId="1" fontId="30" fillId="0" borderId="3" xfId="0" applyNumberFormat="1" applyFont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2" fontId="16" fillId="2" borderId="2" xfId="4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29" fillId="0" borderId="4" xfId="0" applyFont="1" applyBorder="1"/>
    <xf numFmtId="2" fontId="3" fillId="0" borderId="0" xfId="0" applyNumberFormat="1" applyFont="1" applyAlignment="1">
      <alignment horizontal="center"/>
    </xf>
    <xf numFmtId="169" fontId="11" fillId="5" borderId="4" xfId="2" applyNumberFormat="1" applyFill="1" applyBorder="1" applyAlignment="1">
      <alignment horizontal="center"/>
    </xf>
    <xf numFmtId="169" fontId="11" fillId="0" borderId="4" xfId="2" applyNumberFormat="1" applyBorder="1" applyAlignment="1">
      <alignment horizontal="center"/>
    </xf>
    <xf numFmtId="0" fontId="30" fillId="9" borderId="4" xfId="0" applyFont="1" applyFill="1" applyBorder="1" applyAlignment="1">
      <alignment horizontal="center"/>
    </xf>
    <xf numFmtId="0" fontId="43" fillId="0" borderId="4" xfId="0" applyFont="1" applyBorder="1" applyAlignment="1">
      <alignment horizontal="center"/>
    </xf>
    <xf numFmtId="3" fontId="30" fillId="0" borderId="4" xfId="0" applyNumberFormat="1" applyFont="1" applyBorder="1" applyAlignment="1">
      <alignment horizontal="center"/>
    </xf>
    <xf numFmtId="1" fontId="29" fillId="0" borderId="4" xfId="0" applyNumberFormat="1" applyFont="1" applyBorder="1" applyAlignment="1">
      <alignment horizontal="center"/>
    </xf>
    <xf numFmtId="0" fontId="40" fillId="0" borderId="7" xfId="0" applyFont="1" applyBorder="1" applyAlignment="1">
      <alignment horizontal="center"/>
    </xf>
    <xf numFmtId="0" fontId="40" fillId="0" borderId="11" xfId="0" applyFont="1" applyBorder="1" applyAlignment="1">
      <alignment horizontal="center"/>
    </xf>
    <xf numFmtId="0" fontId="38" fillId="0" borderId="0" xfId="4" applyFont="1"/>
    <xf numFmtId="14" fontId="11" fillId="0" borderId="2" xfId="2" applyNumberFormat="1" applyBorder="1" applyAlignment="1">
      <alignment horizontal="center"/>
    </xf>
    <xf numFmtId="4" fontId="25" fillId="0" borderId="4" xfId="4" applyNumberFormat="1" applyFont="1" applyBorder="1" applyAlignment="1">
      <alignment horizontal="center"/>
    </xf>
    <xf numFmtId="3" fontId="41" fillId="14" borderId="4" xfId="0" applyNumberFormat="1" applyFont="1" applyFill="1" applyBorder="1" applyAlignment="1">
      <alignment horizontal="center"/>
    </xf>
    <xf numFmtId="1" fontId="29" fillId="0" borderId="0" xfId="0" applyNumberFormat="1" applyFont="1" applyAlignment="1">
      <alignment horizontal="center"/>
    </xf>
    <xf numFmtId="4" fontId="32" fillId="0" borderId="3" xfId="2" applyNumberFormat="1" applyFont="1" applyBorder="1" applyAlignment="1">
      <alignment horizontal="center"/>
    </xf>
    <xf numFmtId="9" fontId="40" fillId="0" borderId="44" xfId="1" applyFont="1" applyFill="1" applyBorder="1" applyAlignment="1">
      <alignment horizontal="center"/>
    </xf>
    <xf numFmtId="0" fontId="29" fillId="0" borderId="3" xfId="0" applyFont="1" applyBorder="1"/>
    <xf numFmtId="1" fontId="30" fillId="0" borderId="0" xfId="0" applyNumberFormat="1" applyFont="1" applyAlignment="1">
      <alignment horizontal="center"/>
    </xf>
    <xf numFmtId="1" fontId="30" fillId="0" borderId="4" xfId="0" applyNumberFormat="1" applyFont="1" applyBorder="1" applyAlignment="1">
      <alignment horizontal="center"/>
    </xf>
    <xf numFmtId="0" fontId="40" fillId="2" borderId="4" xfId="0" applyFont="1" applyFill="1" applyBorder="1" applyAlignment="1">
      <alignment vertical="center"/>
    </xf>
    <xf numFmtId="2" fontId="25" fillId="0" borderId="4" xfId="4" applyNumberFormat="1" applyFont="1" applyBorder="1" applyAlignment="1">
      <alignment horizontal="center"/>
    </xf>
    <xf numFmtId="2" fontId="25" fillId="5" borderId="4" xfId="4" applyNumberFormat="1" applyFont="1" applyFill="1" applyBorder="1" applyAlignment="1">
      <alignment horizontal="center"/>
    </xf>
    <xf numFmtId="9" fontId="40" fillId="0" borderId="4" xfId="1" applyFont="1" applyBorder="1"/>
    <xf numFmtId="4" fontId="52" fillId="0" borderId="4" xfId="0" applyNumberFormat="1" applyFont="1" applyBorder="1"/>
    <xf numFmtId="0" fontId="52" fillId="0" borderId="4" xfId="0" applyFont="1" applyBorder="1" applyAlignment="1">
      <alignment horizontal="center"/>
    </xf>
    <xf numFmtId="4" fontId="40" fillId="0" borderId="4" xfId="0" applyNumberFormat="1" applyFont="1" applyBorder="1" applyAlignment="1">
      <alignment horizontal="center"/>
    </xf>
    <xf numFmtId="9" fontId="40" fillId="0" borderId="6" xfId="1" applyFont="1" applyBorder="1" applyAlignment="1">
      <alignment horizontal="center"/>
    </xf>
    <xf numFmtId="0" fontId="40" fillId="0" borderId="15" xfId="0" applyFont="1" applyBorder="1"/>
    <xf numFmtId="0" fontId="40" fillId="0" borderId="5" xfId="0" applyFont="1" applyBorder="1"/>
    <xf numFmtId="0" fontId="40" fillId="0" borderId="6" xfId="0" applyFont="1" applyBorder="1"/>
    <xf numFmtId="0" fontId="40" fillId="0" borderId="61" xfId="0" applyFont="1" applyBorder="1"/>
    <xf numFmtId="2" fontId="40" fillId="0" borderId="4" xfId="0" applyNumberFormat="1" applyFont="1" applyBorder="1" applyAlignment="1">
      <alignment horizontal="center"/>
    </xf>
    <xf numFmtId="1" fontId="40" fillId="0" borderId="38" xfId="0" applyNumberFormat="1" applyFont="1" applyBorder="1" applyAlignment="1">
      <alignment horizontal="center"/>
    </xf>
    <xf numFmtId="0" fontId="40" fillId="0" borderId="38" xfId="0" applyFont="1" applyBorder="1"/>
    <xf numFmtId="2" fontId="0" fillId="0" borderId="0" xfId="0" applyNumberFormat="1"/>
    <xf numFmtId="9" fontId="0" fillId="0" borderId="0" xfId="1" applyFont="1"/>
    <xf numFmtId="9" fontId="0" fillId="0" borderId="0" xfId="0" applyNumberFormat="1"/>
    <xf numFmtId="9" fontId="31" fillId="0" borderId="0" xfId="0" applyNumberFormat="1" applyFont="1" applyAlignment="1">
      <alignment horizontal="center"/>
    </xf>
    <xf numFmtId="0" fontId="8" fillId="0" borderId="0" xfId="3" applyFont="1" applyAlignment="1">
      <alignment horizontal="left"/>
    </xf>
    <xf numFmtId="0" fontId="11" fillId="5" borderId="4" xfId="3" applyFont="1" applyFill="1" applyBorder="1" applyAlignment="1">
      <alignment horizontal="center"/>
    </xf>
    <xf numFmtId="0" fontId="11" fillId="5" borderId="4" xfId="4" applyFont="1" applyFill="1" applyBorder="1" applyAlignment="1">
      <alignment horizontal="center"/>
    </xf>
    <xf numFmtId="0" fontId="11" fillId="0" borderId="4" xfId="3" applyFont="1" applyBorder="1" applyAlignment="1">
      <alignment horizontal="center"/>
    </xf>
    <xf numFmtId="0" fontId="11" fillId="0" borderId="4" xfId="4" applyFont="1" applyBorder="1" applyAlignment="1">
      <alignment horizontal="center"/>
    </xf>
    <xf numFmtId="0" fontId="11" fillId="0" borderId="0" xfId="3" applyFont="1" applyAlignment="1">
      <alignment horizontal="center"/>
    </xf>
    <xf numFmtId="2" fontId="11" fillId="5" borderId="4" xfId="4" applyNumberFormat="1" applyFont="1" applyFill="1" applyBorder="1" applyAlignment="1">
      <alignment horizontal="center"/>
    </xf>
    <xf numFmtId="0" fontId="11" fillId="5" borderId="4" xfId="4" applyFont="1" applyFill="1" applyBorder="1"/>
    <xf numFmtId="2" fontId="11" fillId="0" borderId="4" xfId="4" applyNumberFormat="1" applyFont="1" applyBorder="1" applyAlignment="1">
      <alignment horizontal="center"/>
    </xf>
    <xf numFmtId="0" fontId="11" fillId="0" borderId="4" xfId="4" applyFont="1" applyBorder="1"/>
    <xf numFmtId="164" fontId="11" fillId="0" borderId="4" xfId="4" applyNumberFormat="1" applyFont="1" applyBorder="1" applyAlignment="1">
      <alignment horizontal="center"/>
    </xf>
    <xf numFmtId="0" fontId="11" fillId="0" borderId="8" xfId="4" applyFont="1" applyBorder="1"/>
    <xf numFmtId="0" fontId="54" fillId="0" borderId="0" xfId="0" applyFont="1"/>
    <xf numFmtId="165" fontId="21" fillId="2" borderId="2" xfId="4" applyNumberFormat="1" applyFont="1" applyFill="1" applyBorder="1" applyAlignment="1">
      <alignment horizontal="center"/>
    </xf>
    <xf numFmtId="0" fontId="30" fillId="0" borderId="4" xfId="0" applyFont="1" applyBorder="1"/>
    <xf numFmtId="0" fontId="53" fillId="0" borderId="0" xfId="0" applyFont="1"/>
    <xf numFmtId="14" fontId="3" fillId="5" borderId="4" xfId="4" applyNumberFormat="1" applyFont="1" applyFill="1" applyBorder="1" applyAlignment="1">
      <alignment horizontal="center"/>
    </xf>
    <xf numFmtId="14" fontId="3" fillId="0" borderId="4" xfId="4" applyNumberFormat="1" applyFont="1" applyBorder="1" applyAlignment="1">
      <alignment horizontal="center"/>
    </xf>
    <xf numFmtId="9" fontId="40" fillId="0" borderId="1" xfId="1" applyFont="1" applyBorder="1" applyAlignment="1">
      <alignment horizontal="center"/>
    </xf>
    <xf numFmtId="14" fontId="11" fillId="5" borderId="4" xfId="4" applyNumberFormat="1" applyFont="1" applyFill="1" applyBorder="1" applyAlignment="1">
      <alignment horizontal="center"/>
    </xf>
    <xf numFmtId="14" fontId="11" fillId="0" borderId="4" xfId="4" applyNumberFormat="1" applyFont="1" applyBorder="1" applyAlignment="1">
      <alignment horizontal="center"/>
    </xf>
    <xf numFmtId="167" fontId="3" fillId="0" borderId="2" xfId="1" applyNumberFormat="1" applyFont="1" applyBorder="1" applyAlignment="1">
      <alignment horizontal="center"/>
    </xf>
    <xf numFmtId="2" fontId="3" fillId="0" borderId="3" xfId="4" applyNumberFormat="1" applyFont="1" applyBorder="1" applyAlignment="1">
      <alignment horizontal="center"/>
    </xf>
    <xf numFmtId="0" fontId="25" fillId="0" borderId="3" xfId="4" applyFont="1" applyBorder="1"/>
    <xf numFmtId="2" fontId="25" fillId="0" borderId="3" xfId="4" applyNumberFormat="1" applyFont="1" applyBorder="1" applyAlignment="1">
      <alignment horizontal="center"/>
    </xf>
    <xf numFmtId="4" fontId="3" fillId="0" borderId="0" xfId="3" applyNumberFormat="1" applyFont="1" applyAlignment="1">
      <alignment horizontal="center"/>
    </xf>
    <xf numFmtId="0" fontId="56" fillId="0" borderId="0" xfId="3" applyFont="1" applyAlignment="1">
      <alignment horizontal="left"/>
    </xf>
    <xf numFmtId="0" fontId="21" fillId="0" borderId="0" xfId="4" applyFont="1" applyAlignment="1">
      <alignment wrapText="1"/>
    </xf>
    <xf numFmtId="4" fontId="3" fillId="0" borderId="0" xfId="4" applyNumberFormat="1" applyFont="1" applyAlignment="1">
      <alignment horizontal="center"/>
    </xf>
    <xf numFmtId="2" fontId="3" fillId="0" borderId="1" xfId="4" applyNumberFormat="1" applyFont="1" applyBorder="1" applyAlignment="1">
      <alignment horizontal="center"/>
    </xf>
    <xf numFmtId="164" fontId="3" fillId="0" borderId="1" xfId="4" applyNumberFormat="1" applyFont="1" applyBorder="1" applyAlignment="1">
      <alignment horizontal="center"/>
    </xf>
    <xf numFmtId="167" fontId="3" fillId="0" borderId="0" xfId="1" applyNumberFormat="1" applyFont="1"/>
    <xf numFmtId="0" fontId="55" fillId="2" borderId="0" xfId="4" applyFont="1" applyFill="1"/>
    <xf numFmtId="0" fontId="3" fillId="2" borderId="0" xfId="4" applyFont="1" applyFill="1"/>
    <xf numFmtId="0" fontId="3" fillId="2" borderId="0" xfId="4" applyFont="1" applyFill="1" applyAlignment="1">
      <alignment wrapText="1"/>
    </xf>
    <xf numFmtId="3" fontId="40" fillId="0" borderId="59" xfId="0" applyNumberFormat="1" applyFont="1" applyBorder="1" applyAlignment="1">
      <alignment horizontal="center"/>
    </xf>
    <xf numFmtId="9" fontId="40" fillId="0" borderId="0" xfId="1" applyFont="1" applyFill="1" applyBorder="1" applyAlignment="1">
      <alignment horizontal="center"/>
    </xf>
    <xf numFmtId="3" fontId="40" fillId="0" borderId="4" xfId="0" applyNumberFormat="1" applyFont="1" applyBorder="1" applyAlignment="1">
      <alignment horizontal="center"/>
    </xf>
    <xf numFmtId="9" fontId="40" fillId="0" borderId="15" xfId="1" applyFont="1" applyFill="1" applyBorder="1" applyAlignment="1">
      <alignment horizontal="center"/>
    </xf>
    <xf numFmtId="3" fontId="40" fillId="0" borderId="38" xfId="0" applyNumberFormat="1" applyFont="1" applyBorder="1" applyAlignment="1">
      <alignment horizontal="center"/>
    </xf>
    <xf numFmtId="9" fontId="40" fillId="0" borderId="38" xfId="1" applyFont="1" applyFill="1" applyBorder="1" applyAlignment="1">
      <alignment horizontal="center"/>
    </xf>
    <xf numFmtId="0" fontId="40" fillId="0" borderId="39" xfId="0" applyFont="1" applyBorder="1"/>
    <xf numFmtId="9" fontId="40" fillId="0" borderId="26" xfId="0" applyNumberFormat="1" applyFont="1" applyBorder="1" applyAlignment="1">
      <alignment horizontal="center"/>
    </xf>
    <xf numFmtId="0" fontId="40" fillId="0" borderId="25" xfId="0" applyFont="1" applyBorder="1"/>
    <xf numFmtId="1" fontId="40" fillId="0" borderId="3" xfId="0" applyNumberFormat="1" applyFont="1" applyBorder="1" applyAlignment="1">
      <alignment horizontal="center"/>
    </xf>
    <xf numFmtId="167" fontId="40" fillId="0" borderId="4" xfId="0" applyNumberFormat="1" applyFont="1" applyBorder="1" applyAlignment="1">
      <alignment horizontal="center"/>
    </xf>
    <xf numFmtId="0" fontId="40" fillId="0" borderId="28" xfId="0" applyFont="1" applyBorder="1"/>
    <xf numFmtId="167" fontId="48" fillId="0" borderId="4" xfId="0" applyNumberFormat="1" applyFont="1" applyBorder="1" applyAlignment="1">
      <alignment horizontal="center"/>
    </xf>
    <xf numFmtId="4" fontId="40" fillId="0" borderId="28" xfId="0" applyNumberFormat="1" applyFont="1" applyBorder="1" applyAlignment="1">
      <alignment horizontal="right"/>
    </xf>
    <xf numFmtId="4" fontId="40" fillId="0" borderId="22" xfId="0" applyNumberFormat="1" applyFont="1" applyBorder="1" applyAlignment="1">
      <alignment horizontal="right"/>
    </xf>
    <xf numFmtId="4" fontId="40" fillId="0" borderId="17" xfId="0" applyNumberFormat="1" applyFont="1" applyBorder="1" applyAlignment="1">
      <alignment horizontal="center"/>
    </xf>
    <xf numFmtId="1" fontId="40" fillId="0" borderId="18" xfId="0" applyNumberFormat="1" applyFont="1" applyBorder="1" applyAlignment="1">
      <alignment horizontal="center"/>
    </xf>
    <xf numFmtId="9" fontId="40" fillId="0" borderId="18" xfId="0" applyNumberFormat="1" applyFont="1" applyBorder="1" applyAlignment="1">
      <alignment horizontal="center"/>
    </xf>
    <xf numFmtId="0" fontId="40" fillId="0" borderId="17" xfId="0" applyFont="1" applyBorder="1"/>
    <xf numFmtId="1" fontId="48" fillId="0" borderId="4" xfId="0" applyNumberFormat="1" applyFont="1" applyBorder="1" applyAlignment="1">
      <alignment horizontal="center"/>
    </xf>
    <xf numFmtId="0" fontId="40" fillId="0" borderId="20" xfId="0" applyFont="1" applyBorder="1"/>
    <xf numFmtId="2" fontId="40" fillId="0" borderId="20" xfId="0" applyNumberFormat="1" applyFont="1" applyBorder="1"/>
    <xf numFmtId="1" fontId="40" fillId="0" borderId="23" xfId="0" applyNumberFormat="1" applyFont="1" applyBorder="1" applyAlignment="1">
      <alignment horizontal="center"/>
    </xf>
    <xf numFmtId="167" fontId="40" fillId="0" borderId="23" xfId="0" applyNumberFormat="1" applyFont="1" applyBorder="1" applyAlignment="1">
      <alignment horizontal="center"/>
    </xf>
    <xf numFmtId="0" fontId="40" fillId="0" borderId="22" xfId="0" applyFont="1" applyBorder="1"/>
    <xf numFmtId="9" fontId="40" fillId="0" borderId="18" xfId="1" applyFont="1" applyFill="1" applyBorder="1" applyAlignment="1">
      <alignment horizontal="center"/>
    </xf>
    <xf numFmtId="1" fontId="40" fillId="0" borderId="1" xfId="0" applyNumberFormat="1" applyFont="1" applyBorder="1" applyAlignment="1">
      <alignment horizontal="center"/>
    </xf>
    <xf numFmtId="167" fontId="40" fillId="0" borderId="1" xfId="0" applyNumberFormat="1" applyFont="1" applyBorder="1" applyAlignment="1">
      <alignment horizontal="center"/>
    </xf>
    <xf numFmtId="4" fontId="40" fillId="0" borderId="20" xfId="0" applyNumberFormat="1" applyFont="1" applyBorder="1"/>
    <xf numFmtId="4" fontId="40" fillId="0" borderId="28" xfId="0" applyNumberFormat="1" applyFont="1" applyBorder="1"/>
    <xf numFmtId="4" fontId="48" fillId="0" borderId="58" xfId="0" applyNumberFormat="1" applyFont="1" applyBorder="1" applyAlignment="1">
      <alignment horizontal="right"/>
    </xf>
    <xf numFmtId="167" fontId="40" fillId="0" borderId="60" xfId="0" applyNumberFormat="1" applyFont="1" applyBorder="1" applyAlignment="1">
      <alignment horizontal="center"/>
    </xf>
    <xf numFmtId="4" fontId="40" fillId="0" borderId="58" xfId="0" applyNumberFormat="1" applyFont="1" applyBorder="1"/>
    <xf numFmtId="167" fontId="40" fillId="0" borderId="21" xfId="0" applyNumberFormat="1" applyFont="1" applyBorder="1" applyAlignment="1">
      <alignment horizontal="center"/>
    </xf>
    <xf numFmtId="169" fontId="40" fillId="0" borderId="20" xfId="0" applyNumberFormat="1" applyFont="1" applyBorder="1"/>
    <xf numFmtId="1" fontId="52" fillId="0" borderId="4" xfId="0" applyNumberFormat="1" applyFont="1" applyBorder="1" applyAlignment="1">
      <alignment horizontal="center"/>
    </xf>
    <xf numFmtId="167" fontId="52" fillId="0" borderId="21" xfId="0" applyNumberFormat="1" applyFont="1" applyBorder="1" applyAlignment="1">
      <alignment horizontal="center"/>
    </xf>
    <xf numFmtId="1" fontId="48" fillId="0" borderId="1" xfId="0" applyNumberFormat="1" applyFont="1" applyBorder="1" applyAlignment="1">
      <alignment horizontal="right"/>
    </xf>
    <xf numFmtId="167" fontId="48" fillId="0" borderId="29" xfId="0" applyNumberFormat="1" applyFont="1" applyBorder="1" applyAlignment="1">
      <alignment horizontal="right"/>
    </xf>
    <xf numFmtId="1" fontId="48" fillId="0" borderId="23" xfId="0" applyNumberFormat="1" applyFont="1" applyBorder="1" applyAlignment="1">
      <alignment horizontal="right"/>
    </xf>
    <xf numFmtId="167" fontId="48" fillId="0" borderId="24" xfId="0" applyNumberFormat="1" applyFont="1" applyBorder="1" applyAlignment="1">
      <alignment horizontal="right"/>
    </xf>
    <xf numFmtId="4" fontId="40" fillId="0" borderId="22" xfId="0" applyNumberFormat="1" applyFont="1" applyBorder="1"/>
    <xf numFmtId="0" fontId="44" fillId="0" borderId="16" xfId="0" applyFont="1" applyBorder="1"/>
    <xf numFmtId="0" fontId="44" fillId="0" borderId="31" xfId="0" applyFont="1" applyBorder="1"/>
    <xf numFmtId="0" fontId="29" fillId="0" borderId="33" xfId="0" applyFont="1" applyBorder="1"/>
    <xf numFmtId="0" fontId="44" fillId="0" borderId="30" xfId="0" applyFont="1" applyBorder="1"/>
    <xf numFmtId="4" fontId="40" fillId="0" borderId="18" xfId="0" applyNumberFormat="1" applyFont="1" applyBorder="1" applyAlignment="1">
      <alignment horizontal="center"/>
    </xf>
    <xf numFmtId="0" fontId="6" fillId="2" borderId="0" xfId="3" applyFont="1" applyFill="1" applyAlignment="1">
      <alignment horizontal="left"/>
    </xf>
    <xf numFmtId="0" fontId="3" fillId="2" borderId="0" xfId="3" applyFont="1" applyFill="1" applyAlignment="1">
      <alignment horizontal="center"/>
    </xf>
    <xf numFmtId="0" fontId="11" fillId="2" borderId="0" xfId="2" applyFill="1" applyAlignment="1">
      <alignment vertical="center" wrapText="1"/>
    </xf>
    <xf numFmtId="0" fontId="29" fillId="2" borderId="0" xfId="0" applyFont="1" applyFill="1"/>
    <xf numFmtId="0" fontId="29" fillId="2" borderId="15" xfId="0" applyFont="1" applyFill="1" applyBorder="1"/>
    <xf numFmtId="0" fontId="10" fillId="2" borderId="61" xfId="0" applyFont="1" applyFill="1" applyBorder="1"/>
    <xf numFmtId="4" fontId="48" fillId="2" borderId="42" xfId="0" applyNumberFormat="1" applyFont="1" applyFill="1" applyBorder="1" applyAlignment="1">
      <alignment horizontal="right"/>
    </xf>
    <xf numFmtId="4" fontId="48" fillId="2" borderId="62" xfId="0" applyNumberFormat="1" applyFont="1" applyFill="1" applyBorder="1" applyAlignment="1">
      <alignment horizontal="right"/>
    </xf>
    <xf numFmtId="4" fontId="48" fillId="2" borderId="43" xfId="0" applyNumberFormat="1" applyFont="1" applyFill="1" applyBorder="1" applyAlignment="1">
      <alignment horizontal="right"/>
    </xf>
    <xf numFmtId="4" fontId="48" fillId="2" borderId="41" xfId="0" applyNumberFormat="1" applyFont="1" applyFill="1" applyBorder="1" applyAlignment="1">
      <alignment horizontal="right"/>
    </xf>
    <xf numFmtId="0" fontId="29" fillId="2" borderId="1" xfId="0" applyFont="1" applyFill="1" applyBorder="1"/>
    <xf numFmtId="0" fontId="29" fillId="2" borderId="2" xfId="0" applyFont="1" applyFill="1" applyBorder="1"/>
    <xf numFmtId="0" fontId="29" fillId="2" borderId="3" xfId="0" applyFont="1" applyFill="1" applyBorder="1"/>
    <xf numFmtId="0" fontId="44" fillId="17" borderId="16" xfId="0" applyFont="1" applyFill="1" applyBorder="1"/>
    <xf numFmtId="4" fontId="40" fillId="17" borderId="37" xfId="0" applyNumberFormat="1" applyFont="1" applyFill="1" applyBorder="1" applyAlignment="1">
      <alignment horizontal="center"/>
    </xf>
    <xf numFmtId="4" fontId="40" fillId="17" borderId="2" xfId="0" applyNumberFormat="1" applyFont="1" applyFill="1" applyBorder="1" applyAlignment="1">
      <alignment horizontal="center"/>
    </xf>
    <xf numFmtId="0" fontId="29" fillId="11" borderId="52" xfId="0" applyFont="1" applyFill="1" applyBorder="1"/>
    <xf numFmtId="0" fontId="29" fillId="11" borderId="32" xfId="0" applyFont="1" applyFill="1" applyBorder="1"/>
    <xf numFmtId="4" fontId="48" fillId="11" borderId="20" xfId="0" applyNumberFormat="1" applyFont="1" applyFill="1" applyBorder="1" applyAlignment="1">
      <alignment horizontal="right"/>
    </xf>
    <xf numFmtId="4" fontId="40" fillId="11" borderId="35" xfId="0" applyNumberFormat="1" applyFont="1" applyFill="1" applyBorder="1" applyAlignment="1">
      <alignment horizontal="right"/>
    </xf>
    <xf numFmtId="4" fontId="40" fillId="11" borderId="20" xfId="0" applyNumberFormat="1" applyFont="1" applyFill="1" applyBorder="1" applyAlignment="1">
      <alignment horizontal="right"/>
    </xf>
    <xf numFmtId="4" fontId="40" fillId="11" borderId="4" xfId="0" applyNumberFormat="1" applyFont="1" applyFill="1" applyBorder="1"/>
    <xf numFmtId="2" fontId="40" fillId="11" borderId="4" xfId="0" applyNumberFormat="1" applyFont="1" applyFill="1" applyBorder="1"/>
    <xf numFmtId="9" fontId="40" fillId="0" borderId="3" xfId="0" applyNumberFormat="1" applyFont="1" applyBorder="1" applyAlignment="1">
      <alignment horizontal="center"/>
    </xf>
    <xf numFmtId="4" fontId="40" fillId="11" borderId="3" xfId="0" applyNumberFormat="1" applyFont="1" applyFill="1" applyBorder="1" applyAlignment="1">
      <alignment horizontal="right"/>
    </xf>
    <xf numFmtId="4" fontId="40" fillId="11" borderId="4" xfId="0" applyNumberFormat="1" applyFont="1" applyFill="1" applyBorder="1" applyAlignment="1">
      <alignment horizontal="right"/>
    </xf>
    <xf numFmtId="0" fontId="29" fillId="14" borderId="4" xfId="0" applyFont="1" applyFill="1" applyBorder="1"/>
    <xf numFmtId="0" fontId="29" fillId="11" borderId="1" xfId="0" applyFont="1" applyFill="1" applyBorder="1"/>
    <xf numFmtId="0" fontId="29" fillId="11" borderId="2" xfId="0" applyFont="1" applyFill="1" applyBorder="1"/>
    <xf numFmtId="0" fontId="29" fillId="11" borderId="3" xfId="0" applyFont="1" applyFill="1" applyBorder="1"/>
    <xf numFmtId="0" fontId="29" fillId="9" borderId="32" xfId="0" applyFont="1" applyFill="1" applyBorder="1"/>
    <xf numFmtId="4" fontId="51" fillId="9" borderId="20" xfId="0" applyNumberFormat="1" applyFont="1" applyFill="1" applyBorder="1" applyAlignment="1">
      <alignment horizontal="right"/>
    </xf>
    <xf numFmtId="0" fontId="21" fillId="2" borderId="2" xfId="4" applyFont="1" applyFill="1" applyBorder="1" applyAlignment="1">
      <alignment horizontal="center"/>
    </xf>
    <xf numFmtId="0" fontId="41" fillId="0" borderId="1" xfId="0" applyFont="1" applyBorder="1"/>
    <xf numFmtId="4" fontId="40" fillId="0" borderId="3" xfId="0" applyNumberFormat="1" applyFont="1" applyBorder="1" applyAlignment="1">
      <alignment horizontal="right"/>
    </xf>
    <xf numFmtId="0" fontId="29" fillId="9" borderId="1" xfId="0" applyFont="1" applyFill="1" applyBorder="1"/>
    <xf numFmtId="0" fontId="29" fillId="9" borderId="3" xfId="0" applyFont="1" applyFill="1" applyBorder="1"/>
    <xf numFmtId="0" fontId="40" fillId="18" borderId="1" xfId="0" applyFont="1" applyFill="1" applyBorder="1"/>
    <xf numFmtId="0" fontId="40" fillId="18" borderId="3" xfId="0" applyFont="1" applyFill="1" applyBorder="1"/>
    <xf numFmtId="0" fontId="29" fillId="18" borderId="32" xfId="0" applyFont="1" applyFill="1" applyBorder="1"/>
    <xf numFmtId="4" fontId="48" fillId="18" borderId="20" xfId="0" applyNumberFormat="1" applyFont="1" applyFill="1" applyBorder="1" applyAlignment="1">
      <alignment horizontal="right"/>
    </xf>
    <xf numFmtId="4" fontId="40" fillId="18" borderId="4" xfId="0" applyNumberFormat="1" applyFont="1" applyFill="1" applyBorder="1"/>
    <xf numFmtId="0" fontId="29" fillId="13" borderId="32" xfId="0" applyFont="1" applyFill="1" applyBorder="1"/>
    <xf numFmtId="0" fontId="10" fillId="13" borderId="34" xfId="2" applyFont="1" applyFill="1" applyBorder="1"/>
    <xf numFmtId="4" fontId="48" fillId="13" borderId="20" xfId="0" applyNumberFormat="1" applyFont="1" applyFill="1" applyBorder="1" applyAlignment="1">
      <alignment horizontal="right"/>
    </xf>
    <xf numFmtId="4" fontId="40" fillId="0" borderId="2" xfId="0" applyNumberFormat="1" applyFont="1" applyBorder="1" applyAlignment="1">
      <alignment horizontal="center"/>
    </xf>
    <xf numFmtId="4" fontId="40" fillId="0" borderId="1" xfId="0" applyNumberFormat="1" applyFont="1" applyBorder="1" applyAlignment="1">
      <alignment horizontal="center"/>
    </xf>
    <xf numFmtId="0" fontId="30" fillId="0" borderId="13" xfId="0" applyFont="1" applyBorder="1" applyAlignment="1">
      <alignment horizontal="center"/>
    </xf>
    <xf numFmtId="4" fontId="40" fillId="0" borderId="0" xfId="0" applyNumberFormat="1" applyFont="1" applyAlignment="1">
      <alignment horizontal="center"/>
    </xf>
    <xf numFmtId="4" fontId="40" fillId="0" borderId="3" xfId="0" applyNumberFormat="1" applyFont="1" applyBorder="1" applyAlignment="1">
      <alignment horizontal="center"/>
    </xf>
    <xf numFmtId="0" fontId="30" fillId="0" borderId="9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9" fillId="13" borderId="1" xfId="0" applyFont="1" applyFill="1" applyBorder="1"/>
    <xf numFmtId="0" fontId="29" fillId="13" borderId="2" xfId="0" applyFont="1" applyFill="1" applyBorder="1"/>
    <xf numFmtId="0" fontId="29" fillId="13" borderId="3" xfId="0" applyFont="1" applyFill="1" applyBorder="1"/>
    <xf numFmtId="0" fontId="10" fillId="12" borderId="32" xfId="0" applyFont="1" applyFill="1" applyBorder="1"/>
    <xf numFmtId="4" fontId="51" fillId="12" borderId="20" xfId="0" applyNumberFormat="1" applyFont="1" applyFill="1" applyBorder="1" applyAlignment="1">
      <alignment horizontal="right"/>
    </xf>
    <xf numFmtId="4" fontId="48" fillId="12" borderId="20" xfId="0" applyNumberFormat="1" applyFont="1" applyFill="1" applyBorder="1" applyAlignment="1">
      <alignment horizontal="right"/>
    </xf>
    <xf numFmtId="0" fontId="29" fillId="12" borderId="47" xfId="0" applyFont="1" applyFill="1" applyBorder="1"/>
    <xf numFmtId="4" fontId="48" fillId="12" borderId="28" xfId="0" applyNumberFormat="1" applyFont="1" applyFill="1" applyBorder="1" applyAlignment="1">
      <alignment horizontal="right"/>
    </xf>
    <xf numFmtId="0" fontId="29" fillId="12" borderId="1" xfId="0" applyFont="1" applyFill="1" applyBorder="1"/>
    <xf numFmtId="0" fontId="10" fillId="12" borderId="2" xfId="0" applyFont="1" applyFill="1" applyBorder="1"/>
    <xf numFmtId="0" fontId="29" fillId="12" borderId="2" xfId="0" applyFont="1" applyFill="1" applyBorder="1"/>
    <xf numFmtId="0" fontId="29" fillId="12" borderId="3" xfId="0" applyFont="1" applyFill="1" applyBorder="1"/>
    <xf numFmtId="0" fontId="3" fillId="0" borderId="0" xfId="4" applyFont="1" applyAlignment="1">
      <alignment vertical="center"/>
    </xf>
    <xf numFmtId="0" fontId="16" fillId="0" borderId="0" xfId="4" applyFont="1" applyAlignment="1">
      <alignment horizontal="center" vertical="center"/>
    </xf>
    <xf numFmtId="0" fontId="16" fillId="19" borderId="0" xfId="4" applyFont="1" applyFill="1" applyAlignment="1">
      <alignment horizontal="center"/>
    </xf>
    <xf numFmtId="0" fontId="21" fillId="0" borderId="2" xfId="4" applyFont="1" applyBorder="1" applyAlignment="1">
      <alignment horizontal="center"/>
    </xf>
    <xf numFmtId="0" fontId="21" fillId="0" borderId="3" xfId="4" applyFont="1" applyBorder="1" applyAlignment="1">
      <alignment horizontal="center"/>
    </xf>
    <xf numFmtId="0" fontId="21" fillId="0" borderId="1" xfId="4" applyFont="1" applyBorder="1" applyAlignment="1">
      <alignment horizontal="center"/>
    </xf>
    <xf numFmtId="166" fontId="21" fillId="0" borderId="1" xfId="4" applyNumberFormat="1" applyFont="1" applyBorder="1" applyAlignment="1">
      <alignment horizontal="center"/>
    </xf>
    <xf numFmtId="166" fontId="21" fillId="0" borderId="2" xfId="4" applyNumberFormat="1" applyFont="1" applyBorder="1" applyAlignment="1">
      <alignment horizontal="center"/>
    </xf>
    <xf numFmtId="14" fontId="3" fillId="0" borderId="2" xfId="4" applyNumberFormat="1" applyFont="1" applyBorder="1" applyAlignment="1">
      <alignment horizontal="left"/>
    </xf>
    <xf numFmtId="14" fontId="3" fillId="0" borderId="3" xfId="4" applyNumberFormat="1" applyFont="1" applyBorder="1" applyAlignment="1">
      <alignment horizontal="left"/>
    </xf>
    <xf numFmtId="0" fontId="3" fillId="0" borderId="2" xfId="4" applyFont="1" applyBorder="1" applyAlignment="1">
      <alignment horizontal="left" wrapText="1"/>
    </xf>
    <xf numFmtId="0" fontId="3" fillId="0" borderId="2" xfId="4" applyFont="1" applyBorder="1" applyAlignment="1">
      <alignment horizontal="center" wrapText="1"/>
    </xf>
    <xf numFmtId="14" fontId="3" fillId="0" borderId="2" xfId="4" applyNumberFormat="1" applyFont="1" applyBorder="1" applyAlignment="1">
      <alignment horizontal="center"/>
    </xf>
    <xf numFmtId="14" fontId="3" fillId="0" borderId="3" xfId="4" applyNumberFormat="1" applyFont="1" applyBorder="1" applyAlignment="1">
      <alignment horizontal="center"/>
    </xf>
    <xf numFmtId="14" fontId="3" fillId="0" borderId="1" xfId="4" applyNumberFormat="1" applyFont="1" applyBorder="1" applyAlignment="1">
      <alignment horizontal="center"/>
    </xf>
    <xf numFmtId="1" fontId="3" fillId="0" borderId="2" xfId="4" applyNumberFormat="1" applyFont="1" applyBorder="1" applyAlignment="1">
      <alignment horizontal="center"/>
    </xf>
    <xf numFmtId="2" fontId="3" fillId="0" borderId="2" xfId="4" applyNumberFormat="1" applyFont="1" applyBorder="1" applyAlignment="1">
      <alignment horizontal="center"/>
    </xf>
    <xf numFmtId="166" fontId="3" fillId="0" borderId="2" xfId="4" applyNumberFormat="1" applyFont="1" applyBorder="1" applyAlignment="1">
      <alignment horizontal="center"/>
    </xf>
    <xf numFmtId="166" fontId="3" fillId="0" borderId="3" xfId="4" applyNumberFormat="1" applyFont="1" applyBorder="1" applyAlignment="1">
      <alignment horizontal="center"/>
    </xf>
    <xf numFmtId="14" fontId="3" fillId="0" borderId="1" xfId="4" applyNumberFormat="1" applyFont="1" applyBorder="1" applyAlignment="1">
      <alignment horizontal="left"/>
    </xf>
    <xf numFmtId="166" fontId="3" fillId="0" borderId="1" xfId="4" applyNumberFormat="1" applyFont="1" applyBorder="1" applyAlignment="1">
      <alignment horizontal="center"/>
    </xf>
    <xf numFmtId="166" fontId="11" fillId="0" borderId="3" xfId="4" applyNumberFormat="1" applyFont="1" applyBorder="1" applyAlignment="1">
      <alignment horizontal="center"/>
    </xf>
    <xf numFmtId="166" fontId="11" fillId="0" borderId="2" xfId="4" applyNumberFormat="1" applyFont="1" applyBorder="1" applyAlignment="1">
      <alignment horizontal="center"/>
    </xf>
    <xf numFmtId="166" fontId="21" fillId="0" borderId="3" xfId="4" applyNumberFormat="1" applyFont="1" applyBorder="1" applyAlignment="1">
      <alignment horizontal="center"/>
    </xf>
    <xf numFmtId="0" fontId="3" fillId="0" borderId="3" xfId="4" applyFont="1" applyBorder="1" applyAlignment="1">
      <alignment wrapText="1"/>
    </xf>
    <xf numFmtId="14" fontId="3" fillId="0" borderId="4" xfId="4" applyNumberFormat="1" applyFont="1" applyBorder="1" applyAlignment="1">
      <alignment horizontal="left"/>
    </xf>
    <xf numFmtId="166" fontId="3" fillId="0" borderId="4" xfId="4" applyNumberFormat="1" applyFont="1" applyBorder="1" applyAlignment="1">
      <alignment horizontal="center"/>
    </xf>
    <xf numFmtId="0" fontId="19" fillId="0" borderId="1" xfId="2" applyFont="1" applyBorder="1" applyAlignment="1">
      <alignment horizontal="center"/>
    </xf>
    <xf numFmtId="167" fontId="3" fillId="0" borderId="3" xfId="1" applyNumberFormat="1" applyFont="1" applyBorder="1"/>
    <xf numFmtId="0" fontId="16" fillId="19" borderId="4" xfId="4" applyFont="1" applyFill="1" applyBorder="1" applyAlignment="1">
      <alignment horizontal="center"/>
    </xf>
    <xf numFmtId="0" fontId="16" fillId="14" borderId="4" xfId="4" applyFont="1" applyFill="1" applyBorder="1" applyAlignment="1">
      <alignment horizontal="center"/>
    </xf>
    <xf numFmtId="0" fontId="3" fillId="20" borderId="1" xfId="4" applyFont="1" applyFill="1" applyBorder="1"/>
    <xf numFmtId="14" fontId="3" fillId="20" borderId="1" xfId="4" applyNumberFormat="1" applyFont="1" applyFill="1" applyBorder="1" applyAlignment="1">
      <alignment horizontal="center"/>
    </xf>
    <xf numFmtId="0" fontId="29" fillId="9" borderId="2" xfId="0" applyFont="1" applyFill="1" applyBorder="1"/>
    <xf numFmtId="4" fontId="48" fillId="9" borderId="20" xfId="0" applyNumberFormat="1" applyFont="1" applyFill="1" applyBorder="1" applyAlignment="1">
      <alignment horizontal="right"/>
    </xf>
    <xf numFmtId="0" fontId="40" fillId="21" borderId="1" xfId="0" applyFont="1" applyFill="1" applyBorder="1"/>
    <xf numFmtId="0" fontId="40" fillId="21" borderId="2" xfId="0" applyFont="1" applyFill="1" applyBorder="1"/>
    <xf numFmtId="0" fontId="29" fillId="21" borderId="47" xfId="0" applyFont="1" applyFill="1" applyBorder="1"/>
    <xf numFmtId="4" fontId="48" fillId="21" borderId="28" xfId="0" applyNumberFormat="1" applyFont="1" applyFill="1" applyBorder="1" applyAlignment="1">
      <alignment horizontal="right"/>
    </xf>
    <xf numFmtId="0" fontId="29" fillId="21" borderId="32" xfId="0" applyFont="1" applyFill="1" applyBorder="1"/>
    <xf numFmtId="4" fontId="48" fillId="21" borderId="20" xfId="0" applyNumberFormat="1" applyFont="1" applyFill="1" applyBorder="1" applyAlignment="1">
      <alignment horizontal="right"/>
    </xf>
    <xf numFmtId="0" fontId="29" fillId="21" borderId="0" xfId="0" applyFont="1" applyFill="1"/>
    <xf numFmtId="0" fontId="29" fillId="21" borderId="32" xfId="0" applyFont="1" applyFill="1" applyBorder="1" applyAlignment="1">
      <alignment horizontal="left"/>
    </xf>
    <xf numFmtId="0" fontId="57" fillId="0" borderId="0" xfId="0" applyFont="1"/>
    <xf numFmtId="0" fontId="29" fillId="22" borderId="47" xfId="0" applyFont="1" applyFill="1" applyBorder="1"/>
    <xf numFmtId="4" fontId="48" fillId="22" borderId="28" xfId="0" applyNumberFormat="1" applyFont="1" applyFill="1" applyBorder="1" applyAlignment="1">
      <alignment horizontal="right"/>
    </xf>
    <xf numFmtId="0" fontId="29" fillId="22" borderId="32" xfId="0" applyFont="1" applyFill="1" applyBorder="1"/>
    <xf numFmtId="4" fontId="48" fillId="22" borderId="20" xfId="0" applyNumberFormat="1" applyFont="1" applyFill="1" applyBorder="1" applyAlignment="1">
      <alignment horizontal="right"/>
    </xf>
    <xf numFmtId="169" fontId="48" fillId="22" borderId="20" xfId="0" applyNumberFormat="1" applyFont="1" applyFill="1" applyBorder="1" applyAlignment="1">
      <alignment horizontal="right"/>
    </xf>
    <xf numFmtId="0" fontId="29" fillId="22" borderId="33" xfId="0" applyFont="1" applyFill="1" applyBorder="1"/>
    <xf numFmtId="4" fontId="48" fillId="22" borderId="22" xfId="0" applyNumberFormat="1" applyFont="1" applyFill="1" applyBorder="1" applyAlignment="1">
      <alignment horizontal="right"/>
    </xf>
    <xf numFmtId="0" fontId="40" fillId="21" borderId="0" xfId="0" applyFont="1" applyFill="1"/>
    <xf numFmtId="0" fontId="40" fillId="21" borderId="3" xfId="0" applyFont="1" applyFill="1" applyBorder="1"/>
    <xf numFmtId="0" fontId="40" fillId="22" borderId="1" xfId="0" applyFont="1" applyFill="1" applyBorder="1"/>
    <xf numFmtId="0" fontId="40" fillId="22" borderId="2" xfId="0" applyFont="1" applyFill="1" applyBorder="1"/>
    <xf numFmtId="0" fontId="40" fillId="22" borderId="3" xfId="0" applyFont="1" applyFill="1" applyBorder="1"/>
    <xf numFmtId="3" fontId="30" fillId="0" borderId="3" xfId="0" applyNumberFormat="1" applyFont="1" applyBorder="1" applyAlignment="1">
      <alignment horizontal="center"/>
    </xf>
    <xf numFmtId="3" fontId="29" fillId="0" borderId="0" xfId="0" applyNumberFormat="1" applyFont="1"/>
    <xf numFmtId="3" fontId="30" fillId="0" borderId="0" xfId="0" applyNumberFormat="1" applyFont="1" applyAlignment="1">
      <alignment horizontal="center"/>
    </xf>
    <xf numFmtId="0" fontId="29" fillId="0" borderId="47" xfId="0" applyFont="1" applyBorder="1"/>
    <xf numFmtId="4" fontId="48" fillId="0" borderId="28" xfId="0" applyNumberFormat="1" applyFont="1" applyBorder="1" applyAlignment="1">
      <alignment horizontal="right"/>
    </xf>
    <xf numFmtId="0" fontId="52" fillId="0" borderId="4" xfId="0" applyFont="1" applyBorder="1"/>
    <xf numFmtId="1" fontId="48" fillId="0" borderId="1" xfId="0" applyNumberFormat="1" applyFont="1" applyBorder="1" applyAlignment="1">
      <alignment horizontal="center"/>
    </xf>
    <xf numFmtId="0" fontId="52" fillId="23" borderId="4" xfId="0" applyFont="1" applyFill="1" applyBorder="1"/>
    <xf numFmtId="0" fontId="29" fillId="23" borderId="47" xfId="0" applyFont="1" applyFill="1" applyBorder="1"/>
    <xf numFmtId="4" fontId="48" fillId="23" borderId="28" xfId="0" applyNumberFormat="1" applyFont="1" applyFill="1" applyBorder="1" applyAlignment="1">
      <alignment horizontal="right"/>
    </xf>
    <xf numFmtId="0" fontId="3" fillId="20" borderId="0" xfId="4" applyFont="1" applyFill="1" applyAlignment="1">
      <alignment horizontal="center"/>
    </xf>
    <xf numFmtId="0" fontId="3" fillId="20" borderId="2" xfId="4" applyFont="1" applyFill="1" applyBorder="1" applyAlignment="1">
      <alignment horizontal="center"/>
    </xf>
    <xf numFmtId="166" fontId="3" fillId="20" borderId="2" xfId="4" applyNumberFormat="1" applyFont="1" applyFill="1" applyBorder="1" applyAlignment="1">
      <alignment horizontal="center"/>
    </xf>
    <xf numFmtId="0" fontId="3" fillId="20" borderId="3" xfId="4" applyFont="1" applyFill="1" applyBorder="1" applyAlignment="1">
      <alignment horizontal="center"/>
    </xf>
    <xf numFmtId="0" fontId="3" fillId="20" borderId="1" xfId="4" applyFont="1" applyFill="1" applyBorder="1" applyAlignment="1">
      <alignment horizontal="center"/>
    </xf>
    <xf numFmtId="166" fontId="3" fillId="20" borderId="1" xfId="4" applyNumberFormat="1" applyFont="1" applyFill="1" applyBorder="1" applyAlignment="1">
      <alignment horizontal="center"/>
    </xf>
    <xf numFmtId="0" fontId="3" fillId="20" borderId="4" xfId="4" applyFont="1" applyFill="1" applyBorder="1" applyAlignment="1">
      <alignment horizontal="center"/>
    </xf>
    <xf numFmtId="0" fontId="3" fillId="20" borderId="3" xfId="4" applyFont="1" applyFill="1" applyBorder="1" applyAlignment="1">
      <alignment horizontal="center" wrapText="1"/>
    </xf>
    <xf numFmtId="2" fontId="3" fillId="20" borderId="2" xfId="4" applyNumberFormat="1" applyFont="1" applyFill="1" applyBorder="1" applyAlignment="1">
      <alignment horizontal="center"/>
    </xf>
    <xf numFmtId="2" fontId="16" fillId="20" borderId="2" xfId="4" applyNumberFormat="1" applyFont="1" applyFill="1" applyBorder="1" applyAlignment="1">
      <alignment horizontal="center"/>
    </xf>
    <xf numFmtId="9" fontId="3" fillId="0" borderId="0" xfId="1" applyFont="1"/>
    <xf numFmtId="2" fontId="3" fillId="20" borderId="3" xfId="4" applyNumberFormat="1" applyFont="1" applyFill="1" applyBorder="1" applyAlignment="1">
      <alignment horizontal="center"/>
    </xf>
    <xf numFmtId="3" fontId="3" fillId="20" borderId="1" xfId="4" applyNumberFormat="1" applyFont="1" applyFill="1" applyBorder="1" applyAlignment="1">
      <alignment horizontal="center"/>
    </xf>
    <xf numFmtId="166" fontId="3" fillId="20" borderId="3" xfId="4" applyNumberFormat="1" applyFont="1" applyFill="1" applyBorder="1" applyAlignment="1">
      <alignment horizontal="center"/>
    </xf>
    <xf numFmtId="2" fontId="3" fillId="2" borderId="2" xfId="1" applyNumberFormat="1" applyFont="1" applyFill="1" applyBorder="1" applyAlignment="1">
      <alignment horizontal="center"/>
    </xf>
    <xf numFmtId="3" fontId="3" fillId="20" borderId="2" xfId="4" applyNumberFormat="1" applyFont="1" applyFill="1" applyBorder="1" applyAlignment="1">
      <alignment horizontal="center"/>
    </xf>
    <xf numFmtId="1" fontId="3" fillId="20" borderId="1" xfId="4" applyNumberFormat="1" applyFont="1" applyFill="1" applyBorder="1" applyAlignment="1">
      <alignment horizontal="center"/>
    </xf>
    <xf numFmtId="1" fontId="3" fillId="20" borderId="2" xfId="4" applyNumberFormat="1" applyFont="1" applyFill="1" applyBorder="1" applyAlignment="1">
      <alignment horizontal="center"/>
    </xf>
    <xf numFmtId="3" fontId="41" fillId="14" borderId="4" xfId="0" applyNumberFormat="1" applyFont="1" applyFill="1" applyBorder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center" vertical="center"/>
    </xf>
    <xf numFmtId="0" fontId="40" fillId="0" borderId="4" xfId="0" applyFont="1" applyBorder="1" applyAlignment="1">
      <alignment vertical="center"/>
    </xf>
    <xf numFmtId="0" fontId="30" fillId="0" borderId="4" xfId="0" applyFont="1" applyBorder="1" applyAlignment="1">
      <alignment horizontal="center" vertical="center"/>
    </xf>
    <xf numFmtId="9" fontId="30" fillId="0" borderId="3" xfId="1" applyFont="1" applyFill="1" applyBorder="1" applyAlignment="1">
      <alignment horizontal="center"/>
    </xf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58" fillId="0" borderId="0" xfId="0" applyFont="1"/>
    <xf numFmtId="4" fontId="29" fillId="3" borderId="0" xfId="0" applyNumberFormat="1" applyFont="1" applyFill="1"/>
    <xf numFmtId="0" fontId="29" fillId="3" borderId="0" xfId="0" applyFont="1" applyFill="1"/>
    <xf numFmtId="0" fontId="28" fillId="3" borderId="0" xfId="0" applyFont="1" applyFill="1"/>
    <xf numFmtId="0" fontId="3" fillId="24" borderId="4" xfId="3" applyFont="1" applyFill="1" applyBorder="1" applyAlignment="1">
      <alignment horizontal="center"/>
    </xf>
    <xf numFmtId="0" fontId="3" fillId="24" borderId="4" xfId="4" applyFont="1" applyFill="1" applyBorder="1" applyAlignment="1">
      <alignment horizontal="center"/>
    </xf>
    <xf numFmtId="0" fontId="11" fillId="24" borderId="5" xfId="2" applyFill="1" applyBorder="1" applyAlignment="1">
      <alignment vertical="center"/>
    </xf>
    <xf numFmtId="166" fontId="11" fillId="24" borderId="4" xfId="2" applyNumberFormat="1" applyFill="1" applyBorder="1" applyAlignment="1">
      <alignment horizontal="center"/>
    </xf>
    <xf numFmtId="1" fontId="11" fillId="24" borderId="4" xfId="2" applyNumberFormat="1" applyFill="1" applyBorder="1" applyAlignment="1">
      <alignment horizontal="center"/>
    </xf>
    <xf numFmtId="4" fontId="11" fillId="24" borderId="4" xfId="2" applyNumberFormat="1" applyFill="1" applyBorder="1" applyAlignment="1">
      <alignment horizontal="center"/>
    </xf>
    <xf numFmtId="2" fontId="11" fillId="24" borderId="4" xfId="2" applyNumberFormat="1" applyFill="1" applyBorder="1" applyAlignment="1">
      <alignment horizontal="center"/>
    </xf>
    <xf numFmtId="165" fontId="11" fillId="24" borderId="4" xfId="2" applyNumberFormat="1" applyFill="1" applyBorder="1" applyAlignment="1">
      <alignment horizontal="center"/>
    </xf>
    <xf numFmtId="2" fontId="3" fillId="24" borderId="4" xfId="4" applyNumberFormat="1" applyFont="1" applyFill="1" applyBorder="1" applyAlignment="1">
      <alignment horizontal="center"/>
    </xf>
    <xf numFmtId="0" fontId="3" fillId="24" borderId="4" xfId="4" applyFont="1" applyFill="1" applyBorder="1"/>
    <xf numFmtId="0" fontId="11" fillId="24" borderId="4" xfId="2" applyFill="1" applyBorder="1" applyAlignment="1">
      <alignment horizontal="center"/>
    </xf>
    <xf numFmtId="0" fontId="8" fillId="11" borderId="29" xfId="0" applyFont="1" applyFill="1" applyBorder="1" applyAlignment="1">
      <alignment horizontal="center" vertical="center"/>
    </xf>
    <xf numFmtId="4" fontId="40" fillId="0" borderId="1" xfId="0" applyNumberFormat="1" applyFont="1" applyBorder="1" applyAlignment="1">
      <alignment horizontal="center"/>
    </xf>
    <xf numFmtId="4" fontId="40" fillId="0" borderId="2" xfId="0" applyNumberFormat="1" applyFont="1" applyBorder="1" applyAlignment="1">
      <alignment horizontal="center"/>
    </xf>
    <xf numFmtId="4" fontId="40" fillId="0" borderId="3" xfId="0" applyNumberFormat="1" applyFont="1" applyBorder="1" applyAlignment="1">
      <alignment horizontal="center"/>
    </xf>
    <xf numFmtId="3" fontId="40" fillId="0" borderId="1" xfId="0" applyNumberFormat="1" applyFont="1" applyBorder="1" applyAlignment="1">
      <alignment horizontal="center" vertical="center"/>
    </xf>
    <xf numFmtId="3" fontId="40" fillId="0" borderId="2" xfId="0" applyNumberFormat="1" applyFont="1" applyBorder="1" applyAlignment="1">
      <alignment horizontal="center" vertical="center"/>
    </xf>
    <xf numFmtId="3" fontId="40" fillId="0" borderId="3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/>
    </xf>
    <xf numFmtId="0" fontId="40" fillId="0" borderId="3" xfId="0" applyFont="1" applyBorder="1" applyAlignment="1">
      <alignment horizontal="center"/>
    </xf>
    <xf numFmtId="0" fontId="52" fillId="0" borderId="1" xfId="0" applyFont="1" applyBorder="1" applyAlignment="1">
      <alignment horizontal="center" vertical="center"/>
    </xf>
    <xf numFmtId="0" fontId="52" fillId="0" borderId="2" xfId="0" applyFont="1" applyBorder="1" applyAlignment="1">
      <alignment horizontal="center" vertical="center"/>
    </xf>
    <xf numFmtId="0" fontId="52" fillId="0" borderId="3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/>
    </xf>
    <xf numFmtId="0" fontId="42" fillId="9" borderId="41" xfId="0" applyFont="1" applyFill="1" applyBorder="1" applyAlignment="1">
      <alignment horizontal="center" vertical="center"/>
    </xf>
    <xf numFmtId="0" fontId="42" fillId="9" borderId="48" xfId="0" applyFont="1" applyFill="1" applyBorder="1" applyAlignment="1">
      <alignment horizontal="center" vertical="center"/>
    </xf>
    <xf numFmtId="0" fontId="42" fillId="9" borderId="49" xfId="0" applyFont="1" applyFill="1" applyBorder="1" applyAlignment="1">
      <alignment horizontal="center" vertical="center"/>
    </xf>
    <xf numFmtId="0" fontId="42" fillId="9" borderId="50" xfId="0" applyFont="1" applyFill="1" applyBorder="1" applyAlignment="1">
      <alignment horizontal="center" vertical="center"/>
    </xf>
    <xf numFmtId="0" fontId="42" fillId="9" borderId="14" xfId="0" applyFont="1" applyFill="1" applyBorder="1" applyAlignment="1">
      <alignment horizontal="center" vertical="center"/>
    </xf>
    <xf numFmtId="0" fontId="42" fillId="9" borderId="51" xfId="0" applyFont="1" applyFill="1" applyBorder="1" applyAlignment="1">
      <alignment horizontal="center" vertical="center"/>
    </xf>
    <xf numFmtId="0" fontId="30" fillId="9" borderId="4" xfId="0" applyFont="1" applyFill="1" applyBorder="1" applyAlignment="1">
      <alignment horizontal="center" vertical="center"/>
    </xf>
    <xf numFmtId="0" fontId="43" fillId="16" borderId="1" xfId="0" applyFont="1" applyFill="1" applyBorder="1" applyAlignment="1">
      <alignment horizontal="center" vertical="center"/>
    </xf>
    <xf numFmtId="0" fontId="43" fillId="16" borderId="3" xfId="0" applyFont="1" applyFill="1" applyBorder="1" applyAlignment="1">
      <alignment horizontal="center" vertical="center"/>
    </xf>
    <xf numFmtId="0" fontId="42" fillId="24" borderId="17" xfId="0" applyFont="1" applyFill="1" applyBorder="1" applyAlignment="1">
      <alignment horizontal="center" vertical="center"/>
    </xf>
    <xf numFmtId="0" fontId="42" fillId="24" borderId="18" xfId="0" applyFont="1" applyFill="1" applyBorder="1" applyAlignment="1">
      <alignment horizontal="center" vertical="center"/>
    </xf>
    <xf numFmtId="0" fontId="42" fillId="24" borderId="19" xfId="0" applyFont="1" applyFill="1" applyBorder="1" applyAlignment="1">
      <alignment horizontal="center" vertical="center"/>
    </xf>
    <xf numFmtId="0" fontId="30" fillId="24" borderId="35" xfId="0" applyFont="1" applyFill="1" applyBorder="1" applyAlignment="1">
      <alignment horizontal="center" vertical="center"/>
    </xf>
    <xf numFmtId="0" fontId="30" fillId="24" borderId="3" xfId="0" applyFont="1" applyFill="1" applyBorder="1" applyAlignment="1">
      <alignment horizontal="center" vertical="center"/>
    </xf>
    <xf numFmtId="0" fontId="30" fillId="24" borderId="5" xfId="0" applyFont="1" applyFill="1" applyBorder="1" applyAlignment="1">
      <alignment horizontal="center" vertical="center"/>
    </xf>
    <xf numFmtId="0" fontId="30" fillId="24" borderId="15" xfId="0" applyFont="1" applyFill="1" applyBorder="1" applyAlignment="1">
      <alignment horizontal="center" vertical="center"/>
    </xf>
    <xf numFmtId="0" fontId="30" fillId="24" borderId="6" xfId="0" applyFont="1" applyFill="1" applyBorder="1" applyAlignment="1">
      <alignment horizontal="center" vertical="center"/>
    </xf>
    <xf numFmtId="0" fontId="30" fillId="24" borderId="36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/>
    </xf>
    <xf numFmtId="0" fontId="29" fillId="0" borderId="2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0" fontId="41" fillId="14" borderId="5" xfId="0" applyFont="1" applyFill="1" applyBorder="1" applyAlignment="1">
      <alignment horizontal="center" vertical="center"/>
    </xf>
    <xf numFmtId="0" fontId="41" fillId="14" borderId="15" xfId="0" applyFont="1" applyFill="1" applyBorder="1" applyAlignment="1">
      <alignment horizontal="center" vertical="center"/>
    </xf>
    <xf numFmtId="0" fontId="41" fillId="14" borderId="6" xfId="0" applyFont="1" applyFill="1" applyBorder="1" applyAlignment="1">
      <alignment horizontal="center" vertical="center"/>
    </xf>
    <xf numFmtId="0" fontId="42" fillId="12" borderId="17" xfId="0" applyFont="1" applyFill="1" applyBorder="1" applyAlignment="1">
      <alignment horizontal="center" vertical="center"/>
    </xf>
    <xf numFmtId="0" fontId="42" fillId="12" borderId="18" xfId="0" applyFont="1" applyFill="1" applyBorder="1" applyAlignment="1">
      <alignment horizontal="center" vertical="center"/>
    </xf>
    <xf numFmtId="0" fontId="42" fillId="12" borderId="19" xfId="0" applyFont="1" applyFill="1" applyBorder="1" applyAlignment="1">
      <alignment horizontal="center" vertical="center"/>
    </xf>
    <xf numFmtId="0" fontId="30" fillId="12" borderId="35" xfId="0" applyFont="1" applyFill="1" applyBorder="1" applyAlignment="1">
      <alignment horizontal="center" vertical="center"/>
    </xf>
    <xf numFmtId="0" fontId="30" fillId="12" borderId="3" xfId="0" applyFont="1" applyFill="1" applyBorder="1" applyAlignment="1">
      <alignment horizontal="center" vertical="center"/>
    </xf>
    <xf numFmtId="0" fontId="30" fillId="12" borderId="5" xfId="0" applyFont="1" applyFill="1" applyBorder="1" applyAlignment="1">
      <alignment horizontal="center" vertical="center"/>
    </xf>
    <xf numFmtId="0" fontId="30" fillId="12" borderId="15" xfId="0" applyFont="1" applyFill="1" applyBorder="1" applyAlignment="1">
      <alignment horizontal="center" vertical="center"/>
    </xf>
    <xf numFmtId="0" fontId="30" fillId="12" borderId="6" xfId="0" applyFont="1" applyFill="1" applyBorder="1" applyAlignment="1">
      <alignment horizontal="center" vertical="center"/>
    </xf>
    <xf numFmtId="0" fontId="30" fillId="12" borderId="36" xfId="0" applyFont="1" applyFill="1" applyBorder="1" applyAlignment="1">
      <alignment horizontal="center" vertical="center"/>
    </xf>
  </cellXfs>
  <cellStyles count="6">
    <cellStyle name="Normal" xfId="0" builtinId="0"/>
    <cellStyle name="Normal 2" xfId="4" xr:uid="{21120423-4195-42FC-A8A7-5A1668828340}"/>
    <cellStyle name="Normal_Almacén 387" xfId="3" xr:uid="{5FAB6600-F1CD-4D87-89F7-E3D34B78063E}"/>
    <cellStyle name="Normal_OP Berechnungen" xfId="2" xr:uid="{82EF9098-5BAB-4C7A-B3A8-2CE017DC1BB0}"/>
    <cellStyle name="Porcentaje" xfId="1" builtinId="5"/>
    <cellStyle name="Porcentaje 2" xfId="5" xr:uid="{E622B895-9945-44D9-BE57-BBFFC06AAD49}"/>
  </cellStyles>
  <dxfs count="0"/>
  <tableStyles count="0" defaultTableStyle="TableStyleMedium2" defaultPivotStyle="PivotStyleLight16"/>
  <colors>
    <mruColors>
      <color rgb="FFFF5B5B"/>
      <color rgb="FFFFC1E0"/>
      <color rgb="FFADEBE5"/>
      <color rgb="FFFF99FF"/>
      <color rgb="FFFF89C4"/>
      <color rgb="FFCCFF99"/>
      <color rgb="FFFF9999"/>
      <color rgb="FFCC99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1714500</xdr:colOff>
      <xdr:row>78</xdr:row>
      <xdr:rowOff>0</xdr:rowOff>
    </xdr:from>
    <xdr:ext cx="104775" cy="208801"/>
    <xdr:sp macro="" textlink="">
      <xdr:nvSpPr>
        <xdr:cNvPr id="2" name="Text Box 249">
          <a:extLst>
            <a:ext uri="{FF2B5EF4-FFF2-40B4-BE49-F238E27FC236}">
              <a16:creationId xmlns:a16="http://schemas.microsoft.com/office/drawing/2014/main" id="{90DB514F-6C38-4314-ADD7-3A2A3247AFF2}"/>
            </a:ext>
          </a:extLst>
        </xdr:cNvPr>
        <xdr:cNvSpPr txBox="1">
          <a:spLocks noChangeArrowheads="1"/>
        </xdr:cNvSpPr>
      </xdr:nvSpPr>
      <xdr:spPr bwMode="auto">
        <a:xfrm>
          <a:off x="3817620" y="95554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85</xdr:row>
      <xdr:rowOff>0</xdr:rowOff>
    </xdr:from>
    <xdr:ext cx="104775" cy="208801"/>
    <xdr:sp macro="" textlink="">
      <xdr:nvSpPr>
        <xdr:cNvPr id="3" name="Text Box 249">
          <a:extLst>
            <a:ext uri="{FF2B5EF4-FFF2-40B4-BE49-F238E27FC236}">
              <a16:creationId xmlns:a16="http://schemas.microsoft.com/office/drawing/2014/main" id="{275DC524-CBCE-4AA6-85F8-2E2A64CDC83D}"/>
            </a:ext>
          </a:extLst>
        </xdr:cNvPr>
        <xdr:cNvSpPr txBox="1">
          <a:spLocks noChangeArrowheads="1"/>
        </xdr:cNvSpPr>
      </xdr:nvSpPr>
      <xdr:spPr bwMode="auto">
        <a:xfrm>
          <a:off x="4605020" y="105613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2501900</xdr:colOff>
      <xdr:row>85</xdr:row>
      <xdr:rowOff>0</xdr:rowOff>
    </xdr:from>
    <xdr:to>
      <xdr:col>1</xdr:col>
      <xdr:colOff>2606675</xdr:colOff>
      <xdr:row>86</xdr:row>
      <xdr:rowOff>50051</xdr:rowOff>
    </xdr:to>
    <xdr:sp macro="" textlink="">
      <xdr:nvSpPr>
        <xdr:cNvPr id="4" name="Text Box 249">
          <a:extLst>
            <a:ext uri="{FF2B5EF4-FFF2-40B4-BE49-F238E27FC236}">
              <a16:creationId xmlns:a16="http://schemas.microsoft.com/office/drawing/2014/main" id="{A75A3C22-89D4-4A8C-88A9-A68501B3C8CC}"/>
            </a:ext>
          </a:extLst>
        </xdr:cNvPr>
        <xdr:cNvSpPr txBox="1">
          <a:spLocks noChangeArrowheads="1"/>
        </xdr:cNvSpPr>
      </xdr:nvSpPr>
      <xdr:spPr bwMode="auto">
        <a:xfrm>
          <a:off x="4605020" y="10561320"/>
          <a:ext cx="104775" cy="217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1714500</xdr:colOff>
      <xdr:row>85</xdr:row>
      <xdr:rowOff>0</xdr:rowOff>
    </xdr:from>
    <xdr:ext cx="104775" cy="208801"/>
    <xdr:sp macro="" textlink="">
      <xdr:nvSpPr>
        <xdr:cNvPr id="5" name="Text Box 249">
          <a:extLst>
            <a:ext uri="{FF2B5EF4-FFF2-40B4-BE49-F238E27FC236}">
              <a16:creationId xmlns:a16="http://schemas.microsoft.com/office/drawing/2014/main" id="{05411D5F-572B-49DA-852B-4BDA5BB5D00F}"/>
            </a:ext>
          </a:extLst>
        </xdr:cNvPr>
        <xdr:cNvSpPr txBox="1">
          <a:spLocks noChangeArrowheads="1"/>
        </xdr:cNvSpPr>
      </xdr:nvSpPr>
      <xdr:spPr bwMode="auto">
        <a:xfrm>
          <a:off x="3817620" y="10896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85</xdr:row>
      <xdr:rowOff>0</xdr:rowOff>
    </xdr:from>
    <xdr:ext cx="104775" cy="210011"/>
    <xdr:sp macro="" textlink="">
      <xdr:nvSpPr>
        <xdr:cNvPr id="6" name="Text Box 249">
          <a:extLst>
            <a:ext uri="{FF2B5EF4-FFF2-40B4-BE49-F238E27FC236}">
              <a16:creationId xmlns:a16="http://schemas.microsoft.com/office/drawing/2014/main" id="{5A38B98B-ABA8-47B8-ACAC-5E0E81B65413}"/>
            </a:ext>
          </a:extLst>
        </xdr:cNvPr>
        <xdr:cNvSpPr txBox="1">
          <a:spLocks noChangeArrowheads="1"/>
        </xdr:cNvSpPr>
      </xdr:nvSpPr>
      <xdr:spPr bwMode="auto">
        <a:xfrm>
          <a:off x="4605020" y="119024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83</xdr:row>
      <xdr:rowOff>6350</xdr:rowOff>
    </xdr:from>
    <xdr:ext cx="120015" cy="220019"/>
    <xdr:sp macro="" textlink="">
      <xdr:nvSpPr>
        <xdr:cNvPr id="7" name="Text Box 249">
          <a:extLst>
            <a:ext uri="{FF2B5EF4-FFF2-40B4-BE49-F238E27FC236}">
              <a16:creationId xmlns:a16="http://schemas.microsoft.com/office/drawing/2014/main" id="{802FCB2E-D155-400D-9F60-5D9FD4FC26FB}"/>
            </a:ext>
          </a:extLst>
        </xdr:cNvPr>
        <xdr:cNvSpPr txBox="1">
          <a:spLocks noChangeArrowheads="1"/>
        </xdr:cNvSpPr>
      </xdr:nvSpPr>
      <xdr:spPr bwMode="auto">
        <a:xfrm>
          <a:off x="4605020" y="10232390"/>
          <a:ext cx="120015" cy="220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2501900</xdr:colOff>
      <xdr:row>85</xdr:row>
      <xdr:rowOff>0</xdr:rowOff>
    </xdr:from>
    <xdr:to>
      <xdr:col>1</xdr:col>
      <xdr:colOff>2621915</xdr:colOff>
      <xdr:row>86</xdr:row>
      <xdr:rowOff>63387</xdr:rowOff>
    </xdr:to>
    <xdr:sp macro="" textlink="">
      <xdr:nvSpPr>
        <xdr:cNvPr id="8" name="Text Box 249">
          <a:extLst>
            <a:ext uri="{FF2B5EF4-FFF2-40B4-BE49-F238E27FC236}">
              <a16:creationId xmlns:a16="http://schemas.microsoft.com/office/drawing/2014/main" id="{3B5C4669-A698-4D8A-B9B4-E50DC3CB4D18}"/>
            </a:ext>
          </a:extLst>
        </xdr:cNvPr>
        <xdr:cNvSpPr txBox="1">
          <a:spLocks noChangeArrowheads="1"/>
        </xdr:cNvSpPr>
      </xdr:nvSpPr>
      <xdr:spPr bwMode="auto">
        <a:xfrm>
          <a:off x="4605020" y="10735310"/>
          <a:ext cx="120015" cy="2310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121920</xdr:colOff>
      <xdr:row>0</xdr:row>
      <xdr:rowOff>0</xdr:rowOff>
    </xdr:from>
    <xdr:to>
      <xdr:col>5</xdr:col>
      <xdr:colOff>115992</xdr:colOff>
      <xdr:row>1</xdr:row>
      <xdr:rowOff>327659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FC2FC838-EDB2-4261-942A-A60FA2883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1480" y="0"/>
          <a:ext cx="1060872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1714500</xdr:colOff>
      <xdr:row>69</xdr:row>
      <xdr:rowOff>0</xdr:rowOff>
    </xdr:from>
    <xdr:ext cx="104775" cy="208801"/>
    <xdr:sp macro="" textlink="">
      <xdr:nvSpPr>
        <xdr:cNvPr id="10" name="Text Box 249">
          <a:extLst>
            <a:ext uri="{FF2B5EF4-FFF2-40B4-BE49-F238E27FC236}">
              <a16:creationId xmlns:a16="http://schemas.microsoft.com/office/drawing/2014/main" id="{B6E3A038-0D81-4610-9A4F-0B6C34D16966}"/>
            </a:ext>
          </a:extLst>
        </xdr:cNvPr>
        <xdr:cNvSpPr txBox="1">
          <a:spLocks noChangeArrowheads="1"/>
        </xdr:cNvSpPr>
      </xdr:nvSpPr>
      <xdr:spPr bwMode="auto">
        <a:xfrm>
          <a:off x="4593167" y="94657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86</xdr:row>
      <xdr:rowOff>0</xdr:rowOff>
    </xdr:from>
    <xdr:ext cx="104775" cy="208801"/>
    <xdr:sp macro="" textlink="">
      <xdr:nvSpPr>
        <xdr:cNvPr id="11" name="Text Box 249">
          <a:extLst>
            <a:ext uri="{FF2B5EF4-FFF2-40B4-BE49-F238E27FC236}">
              <a16:creationId xmlns:a16="http://schemas.microsoft.com/office/drawing/2014/main" id="{AA57D518-04F9-4DA3-B53C-E17ED6BDBB4A}"/>
            </a:ext>
          </a:extLst>
        </xdr:cNvPr>
        <xdr:cNvSpPr txBox="1">
          <a:spLocks noChangeArrowheads="1"/>
        </xdr:cNvSpPr>
      </xdr:nvSpPr>
      <xdr:spPr bwMode="auto">
        <a:xfrm>
          <a:off x="5380567" y="121750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86</xdr:row>
      <xdr:rowOff>0</xdr:rowOff>
    </xdr:from>
    <xdr:ext cx="104775" cy="219384"/>
    <xdr:sp macro="" textlink="">
      <xdr:nvSpPr>
        <xdr:cNvPr id="12" name="Text Box 249">
          <a:extLst>
            <a:ext uri="{FF2B5EF4-FFF2-40B4-BE49-F238E27FC236}">
              <a16:creationId xmlns:a16="http://schemas.microsoft.com/office/drawing/2014/main" id="{3C33609C-EB93-47FF-8052-24C4F521AA38}"/>
            </a:ext>
          </a:extLst>
        </xdr:cNvPr>
        <xdr:cNvSpPr txBox="1">
          <a:spLocks noChangeArrowheads="1"/>
        </xdr:cNvSpPr>
      </xdr:nvSpPr>
      <xdr:spPr bwMode="auto">
        <a:xfrm>
          <a:off x="5380567" y="12175067"/>
          <a:ext cx="104775" cy="219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86</xdr:row>
      <xdr:rowOff>0</xdr:rowOff>
    </xdr:from>
    <xdr:ext cx="104775" cy="208801"/>
    <xdr:sp macro="" textlink="">
      <xdr:nvSpPr>
        <xdr:cNvPr id="13" name="Text Box 249">
          <a:extLst>
            <a:ext uri="{FF2B5EF4-FFF2-40B4-BE49-F238E27FC236}">
              <a16:creationId xmlns:a16="http://schemas.microsoft.com/office/drawing/2014/main" id="{63B9E8E0-2F19-45E9-B336-37981F896C58}"/>
            </a:ext>
          </a:extLst>
        </xdr:cNvPr>
        <xdr:cNvSpPr txBox="1">
          <a:spLocks noChangeArrowheads="1"/>
        </xdr:cNvSpPr>
      </xdr:nvSpPr>
      <xdr:spPr bwMode="auto">
        <a:xfrm>
          <a:off x="4593167" y="121750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86</xdr:row>
      <xdr:rowOff>0</xdr:rowOff>
    </xdr:from>
    <xdr:ext cx="104775" cy="210011"/>
    <xdr:sp macro="" textlink="">
      <xdr:nvSpPr>
        <xdr:cNvPr id="14" name="Text Box 249">
          <a:extLst>
            <a:ext uri="{FF2B5EF4-FFF2-40B4-BE49-F238E27FC236}">
              <a16:creationId xmlns:a16="http://schemas.microsoft.com/office/drawing/2014/main" id="{8C11C7CC-E530-4C28-A786-D126E20566BE}"/>
            </a:ext>
          </a:extLst>
        </xdr:cNvPr>
        <xdr:cNvSpPr txBox="1">
          <a:spLocks noChangeArrowheads="1"/>
        </xdr:cNvSpPr>
      </xdr:nvSpPr>
      <xdr:spPr bwMode="auto">
        <a:xfrm>
          <a:off x="5380567" y="121750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86</xdr:row>
      <xdr:rowOff>0</xdr:rowOff>
    </xdr:from>
    <xdr:ext cx="120015" cy="232720"/>
    <xdr:sp macro="" textlink="">
      <xdr:nvSpPr>
        <xdr:cNvPr id="15" name="Text Box 249">
          <a:extLst>
            <a:ext uri="{FF2B5EF4-FFF2-40B4-BE49-F238E27FC236}">
              <a16:creationId xmlns:a16="http://schemas.microsoft.com/office/drawing/2014/main" id="{BD426E6F-E34F-46A4-BC3C-A1685F9EC754}"/>
            </a:ext>
          </a:extLst>
        </xdr:cNvPr>
        <xdr:cNvSpPr txBox="1">
          <a:spLocks noChangeArrowheads="1"/>
        </xdr:cNvSpPr>
      </xdr:nvSpPr>
      <xdr:spPr bwMode="auto">
        <a:xfrm>
          <a:off x="5380567" y="12175067"/>
          <a:ext cx="120015" cy="232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80</xdr:row>
      <xdr:rowOff>0</xdr:rowOff>
    </xdr:from>
    <xdr:ext cx="104775" cy="208801"/>
    <xdr:sp macro="" textlink="">
      <xdr:nvSpPr>
        <xdr:cNvPr id="16" name="Text Box 249">
          <a:extLst>
            <a:ext uri="{FF2B5EF4-FFF2-40B4-BE49-F238E27FC236}">
              <a16:creationId xmlns:a16="http://schemas.microsoft.com/office/drawing/2014/main" id="{C3C3C61E-EC90-408F-8A00-BAF3893A2826}"/>
            </a:ext>
          </a:extLst>
        </xdr:cNvPr>
        <xdr:cNvSpPr txBox="1">
          <a:spLocks noChangeArrowheads="1"/>
        </xdr:cNvSpPr>
      </xdr:nvSpPr>
      <xdr:spPr bwMode="auto">
        <a:xfrm>
          <a:off x="4593167" y="15214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2501900</xdr:colOff>
      <xdr:row>24</xdr:row>
      <xdr:rowOff>0</xdr:rowOff>
    </xdr:from>
    <xdr:to>
      <xdr:col>1</xdr:col>
      <xdr:colOff>2606675</xdr:colOff>
      <xdr:row>25</xdr:row>
      <xdr:rowOff>18301</xdr:rowOff>
    </xdr:to>
    <xdr:sp macro="" textlink="">
      <xdr:nvSpPr>
        <xdr:cNvPr id="2" name="Text Box 249">
          <a:extLst>
            <a:ext uri="{FF2B5EF4-FFF2-40B4-BE49-F238E27FC236}">
              <a16:creationId xmlns:a16="http://schemas.microsoft.com/office/drawing/2014/main" id="{F6DEBD62-7444-4539-996A-4E4EF9CA4223}"/>
            </a:ext>
          </a:extLst>
        </xdr:cNvPr>
        <xdr:cNvSpPr txBox="1">
          <a:spLocks noChangeArrowheads="1"/>
        </xdr:cNvSpPr>
      </xdr:nvSpPr>
      <xdr:spPr bwMode="auto">
        <a:xfrm>
          <a:off x="2501900" y="455549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1714500</xdr:colOff>
      <xdr:row>78</xdr:row>
      <xdr:rowOff>0</xdr:rowOff>
    </xdr:from>
    <xdr:ext cx="104775" cy="208801"/>
    <xdr:sp macro="" textlink="">
      <xdr:nvSpPr>
        <xdr:cNvPr id="3" name="Text Box 249">
          <a:extLst>
            <a:ext uri="{FF2B5EF4-FFF2-40B4-BE49-F238E27FC236}">
              <a16:creationId xmlns:a16="http://schemas.microsoft.com/office/drawing/2014/main" id="{532CCE65-B581-4B81-915D-A17B09346DDF}"/>
            </a:ext>
          </a:extLst>
        </xdr:cNvPr>
        <xdr:cNvSpPr txBox="1">
          <a:spLocks noChangeArrowheads="1"/>
        </xdr:cNvSpPr>
      </xdr:nvSpPr>
      <xdr:spPr bwMode="auto">
        <a:xfrm>
          <a:off x="1714500" y="11788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78</xdr:row>
      <xdr:rowOff>0</xdr:rowOff>
    </xdr:from>
    <xdr:ext cx="104775" cy="208801"/>
    <xdr:sp macro="" textlink="">
      <xdr:nvSpPr>
        <xdr:cNvPr id="4" name="Text Box 249">
          <a:extLst>
            <a:ext uri="{FF2B5EF4-FFF2-40B4-BE49-F238E27FC236}">
              <a16:creationId xmlns:a16="http://schemas.microsoft.com/office/drawing/2014/main" id="{BF4A58D3-0A2F-4890-BEF6-A9C043458015}"/>
            </a:ext>
          </a:extLst>
        </xdr:cNvPr>
        <xdr:cNvSpPr txBox="1">
          <a:spLocks noChangeArrowheads="1"/>
        </xdr:cNvSpPr>
      </xdr:nvSpPr>
      <xdr:spPr bwMode="auto">
        <a:xfrm>
          <a:off x="2156460" y="13388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78</xdr:row>
      <xdr:rowOff>0</xdr:rowOff>
    </xdr:from>
    <xdr:ext cx="104775" cy="208801"/>
    <xdr:sp macro="" textlink="">
      <xdr:nvSpPr>
        <xdr:cNvPr id="5" name="Text Box 249">
          <a:extLst>
            <a:ext uri="{FF2B5EF4-FFF2-40B4-BE49-F238E27FC236}">
              <a16:creationId xmlns:a16="http://schemas.microsoft.com/office/drawing/2014/main" id="{B46DBFA0-13B1-47F4-BDE0-09D351B5BC7E}"/>
            </a:ext>
          </a:extLst>
        </xdr:cNvPr>
        <xdr:cNvSpPr txBox="1">
          <a:spLocks noChangeArrowheads="1"/>
        </xdr:cNvSpPr>
      </xdr:nvSpPr>
      <xdr:spPr bwMode="auto">
        <a:xfrm>
          <a:off x="1714500" y="119786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78</xdr:row>
      <xdr:rowOff>0</xdr:rowOff>
    </xdr:from>
    <xdr:ext cx="104775" cy="208801"/>
    <xdr:sp macro="" textlink="">
      <xdr:nvSpPr>
        <xdr:cNvPr id="6" name="Text Box 249">
          <a:extLst>
            <a:ext uri="{FF2B5EF4-FFF2-40B4-BE49-F238E27FC236}">
              <a16:creationId xmlns:a16="http://schemas.microsoft.com/office/drawing/2014/main" id="{D2CBF07E-4F9E-4764-8E81-D3E6DA3B5014}"/>
            </a:ext>
          </a:extLst>
        </xdr:cNvPr>
        <xdr:cNvSpPr txBox="1">
          <a:spLocks noChangeArrowheads="1"/>
        </xdr:cNvSpPr>
      </xdr:nvSpPr>
      <xdr:spPr bwMode="auto">
        <a:xfrm>
          <a:off x="2501900" y="150266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2501900</xdr:colOff>
      <xdr:row>78</xdr:row>
      <xdr:rowOff>0</xdr:rowOff>
    </xdr:from>
    <xdr:to>
      <xdr:col>1</xdr:col>
      <xdr:colOff>2606675</xdr:colOff>
      <xdr:row>79</xdr:row>
      <xdr:rowOff>18302</xdr:rowOff>
    </xdr:to>
    <xdr:sp macro="" textlink="">
      <xdr:nvSpPr>
        <xdr:cNvPr id="7" name="Text Box 249">
          <a:extLst>
            <a:ext uri="{FF2B5EF4-FFF2-40B4-BE49-F238E27FC236}">
              <a16:creationId xmlns:a16="http://schemas.microsoft.com/office/drawing/2014/main" id="{7DCD9C56-F166-497B-9B13-0BEC5A70E436}"/>
            </a:ext>
          </a:extLst>
        </xdr:cNvPr>
        <xdr:cNvSpPr txBox="1">
          <a:spLocks noChangeArrowheads="1"/>
        </xdr:cNvSpPr>
      </xdr:nvSpPr>
      <xdr:spPr bwMode="auto">
        <a:xfrm>
          <a:off x="2501900" y="15026640"/>
          <a:ext cx="104775" cy="20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1714500</xdr:colOff>
      <xdr:row>78</xdr:row>
      <xdr:rowOff>0</xdr:rowOff>
    </xdr:from>
    <xdr:ext cx="104775" cy="208801"/>
    <xdr:sp macro="" textlink="">
      <xdr:nvSpPr>
        <xdr:cNvPr id="8" name="Text Box 249">
          <a:extLst>
            <a:ext uri="{FF2B5EF4-FFF2-40B4-BE49-F238E27FC236}">
              <a16:creationId xmlns:a16="http://schemas.microsoft.com/office/drawing/2014/main" id="{CB6A3BC5-CD0A-40D9-B848-19D5B74940A6}"/>
            </a:ext>
          </a:extLst>
        </xdr:cNvPr>
        <xdr:cNvSpPr txBox="1">
          <a:spLocks noChangeArrowheads="1"/>
        </xdr:cNvSpPr>
      </xdr:nvSpPr>
      <xdr:spPr bwMode="auto">
        <a:xfrm>
          <a:off x="1714500" y="15979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78</xdr:row>
      <xdr:rowOff>0</xdr:rowOff>
    </xdr:from>
    <xdr:ext cx="104775" cy="210011"/>
    <xdr:sp macro="" textlink="">
      <xdr:nvSpPr>
        <xdr:cNvPr id="9" name="Text Box 249">
          <a:extLst>
            <a:ext uri="{FF2B5EF4-FFF2-40B4-BE49-F238E27FC236}">
              <a16:creationId xmlns:a16="http://schemas.microsoft.com/office/drawing/2014/main" id="{2C4F6BF8-542F-407E-A555-173B44CC6983}"/>
            </a:ext>
          </a:extLst>
        </xdr:cNvPr>
        <xdr:cNvSpPr txBox="1">
          <a:spLocks noChangeArrowheads="1"/>
        </xdr:cNvSpPr>
      </xdr:nvSpPr>
      <xdr:spPr bwMode="auto">
        <a:xfrm>
          <a:off x="2501900" y="171221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2501900</xdr:colOff>
      <xdr:row>78</xdr:row>
      <xdr:rowOff>0</xdr:rowOff>
    </xdr:from>
    <xdr:to>
      <xdr:col>1</xdr:col>
      <xdr:colOff>2621915</xdr:colOff>
      <xdr:row>79</xdr:row>
      <xdr:rowOff>31635</xdr:rowOff>
    </xdr:to>
    <xdr:sp macro="" textlink="">
      <xdr:nvSpPr>
        <xdr:cNvPr id="10" name="Text Box 249">
          <a:extLst>
            <a:ext uri="{FF2B5EF4-FFF2-40B4-BE49-F238E27FC236}">
              <a16:creationId xmlns:a16="http://schemas.microsoft.com/office/drawing/2014/main" id="{B89F79C4-FC1F-455C-9C98-EC216C2FF661}"/>
            </a:ext>
          </a:extLst>
        </xdr:cNvPr>
        <xdr:cNvSpPr txBox="1">
          <a:spLocks noChangeArrowheads="1"/>
        </xdr:cNvSpPr>
      </xdr:nvSpPr>
      <xdr:spPr bwMode="auto">
        <a:xfrm>
          <a:off x="2501900" y="9698990"/>
          <a:ext cx="120015" cy="222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654471</xdr:colOff>
      <xdr:row>0</xdr:row>
      <xdr:rowOff>0</xdr:rowOff>
    </xdr:from>
    <xdr:to>
      <xdr:col>9</xdr:col>
      <xdr:colOff>120141</xdr:colOff>
      <xdr:row>2</xdr:row>
      <xdr:rowOff>79688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5010A109-1AB2-4110-BB05-3A5CB62AD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43451" y="0"/>
          <a:ext cx="1043010" cy="5368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2501900</xdr:colOff>
      <xdr:row>132</xdr:row>
      <xdr:rowOff>0</xdr:rowOff>
    </xdr:from>
    <xdr:ext cx="104775" cy="213034"/>
    <xdr:sp macro="" textlink="">
      <xdr:nvSpPr>
        <xdr:cNvPr id="12" name="Text Box 249">
          <a:extLst>
            <a:ext uri="{FF2B5EF4-FFF2-40B4-BE49-F238E27FC236}">
              <a16:creationId xmlns:a16="http://schemas.microsoft.com/office/drawing/2014/main" id="{E08DFBEE-D53A-4613-B5B5-0CD28DD4071A}"/>
            </a:ext>
          </a:extLst>
        </xdr:cNvPr>
        <xdr:cNvSpPr txBox="1">
          <a:spLocks noChangeArrowheads="1"/>
        </xdr:cNvSpPr>
      </xdr:nvSpPr>
      <xdr:spPr bwMode="auto">
        <a:xfrm>
          <a:off x="2501900" y="4072467"/>
          <a:ext cx="104775" cy="2130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136</xdr:row>
      <xdr:rowOff>0</xdr:rowOff>
    </xdr:from>
    <xdr:ext cx="104775" cy="208801"/>
    <xdr:sp macro="" textlink="">
      <xdr:nvSpPr>
        <xdr:cNvPr id="13" name="Text Box 249">
          <a:extLst>
            <a:ext uri="{FF2B5EF4-FFF2-40B4-BE49-F238E27FC236}">
              <a16:creationId xmlns:a16="http://schemas.microsoft.com/office/drawing/2014/main" id="{DF68763B-1113-4674-8F64-BD668E01744A}"/>
            </a:ext>
          </a:extLst>
        </xdr:cNvPr>
        <xdr:cNvSpPr txBox="1">
          <a:spLocks noChangeArrowheads="1"/>
        </xdr:cNvSpPr>
      </xdr:nvSpPr>
      <xdr:spPr bwMode="auto">
        <a:xfrm>
          <a:off x="1714500" y="5046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136</xdr:row>
      <xdr:rowOff>0</xdr:rowOff>
    </xdr:from>
    <xdr:ext cx="104775" cy="208801"/>
    <xdr:sp macro="" textlink="">
      <xdr:nvSpPr>
        <xdr:cNvPr id="14" name="Text Box 249">
          <a:extLst>
            <a:ext uri="{FF2B5EF4-FFF2-40B4-BE49-F238E27FC236}">
              <a16:creationId xmlns:a16="http://schemas.microsoft.com/office/drawing/2014/main" id="{BF7867E6-5E2F-4AE4-826D-0EABD027706D}"/>
            </a:ext>
          </a:extLst>
        </xdr:cNvPr>
        <xdr:cNvSpPr txBox="1">
          <a:spLocks noChangeArrowheads="1"/>
        </xdr:cNvSpPr>
      </xdr:nvSpPr>
      <xdr:spPr bwMode="auto">
        <a:xfrm>
          <a:off x="2156460" y="5046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136</xdr:row>
      <xdr:rowOff>0</xdr:rowOff>
    </xdr:from>
    <xdr:ext cx="104775" cy="208801"/>
    <xdr:sp macro="" textlink="">
      <xdr:nvSpPr>
        <xdr:cNvPr id="15" name="Text Box 249">
          <a:extLst>
            <a:ext uri="{FF2B5EF4-FFF2-40B4-BE49-F238E27FC236}">
              <a16:creationId xmlns:a16="http://schemas.microsoft.com/office/drawing/2014/main" id="{CC31B700-2A7E-48B6-B770-167BD2135111}"/>
            </a:ext>
          </a:extLst>
        </xdr:cNvPr>
        <xdr:cNvSpPr txBox="1">
          <a:spLocks noChangeArrowheads="1"/>
        </xdr:cNvSpPr>
      </xdr:nvSpPr>
      <xdr:spPr bwMode="auto">
        <a:xfrm>
          <a:off x="1714500" y="5046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136</xdr:row>
      <xdr:rowOff>0</xdr:rowOff>
    </xdr:from>
    <xdr:ext cx="104775" cy="208801"/>
    <xdr:sp macro="" textlink="">
      <xdr:nvSpPr>
        <xdr:cNvPr id="16" name="Text Box 249">
          <a:extLst>
            <a:ext uri="{FF2B5EF4-FFF2-40B4-BE49-F238E27FC236}">
              <a16:creationId xmlns:a16="http://schemas.microsoft.com/office/drawing/2014/main" id="{F021AAED-8F63-4FCB-91D8-9E7BEEEEB958}"/>
            </a:ext>
          </a:extLst>
        </xdr:cNvPr>
        <xdr:cNvSpPr txBox="1">
          <a:spLocks noChangeArrowheads="1"/>
        </xdr:cNvSpPr>
      </xdr:nvSpPr>
      <xdr:spPr bwMode="auto">
        <a:xfrm>
          <a:off x="2501900" y="5046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136</xdr:row>
      <xdr:rowOff>0</xdr:rowOff>
    </xdr:from>
    <xdr:ext cx="104775" cy="213036"/>
    <xdr:sp macro="" textlink="">
      <xdr:nvSpPr>
        <xdr:cNvPr id="17" name="Text Box 249">
          <a:extLst>
            <a:ext uri="{FF2B5EF4-FFF2-40B4-BE49-F238E27FC236}">
              <a16:creationId xmlns:a16="http://schemas.microsoft.com/office/drawing/2014/main" id="{0977C119-4CBD-4E3D-B10E-90B41098E2C5}"/>
            </a:ext>
          </a:extLst>
        </xdr:cNvPr>
        <xdr:cNvSpPr txBox="1">
          <a:spLocks noChangeArrowheads="1"/>
        </xdr:cNvSpPr>
      </xdr:nvSpPr>
      <xdr:spPr bwMode="auto">
        <a:xfrm>
          <a:off x="2501900" y="5046133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136</xdr:row>
      <xdr:rowOff>0</xdr:rowOff>
    </xdr:from>
    <xdr:ext cx="104775" cy="208801"/>
    <xdr:sp macro="" textlink="">
      <xdr:nvSpPr>
        <xdr:cNvPr id="18" name="Text Box 249">
          <a:extLst>
            <a:ext uri="{FF2B5EF4-FFF2-40B4-BE49-F238E27FC236}">
              <a16:creationId xmlns:a16="http://schemas.microsoft.com/office/drawing/2014/main" id="{E51D6AD9-1616-43B6-B305-AF18F9D5678E}"/>
            </a:ext>
          </a:extLst>
        </xdr:cNvPr>
        <xdr:cNvSpPr txBox="1">
          <a:spLocks noChangeArrowheads="1"/>
        </xdr:cNvSpPr>
      </xdr:nvSpPr>
      <xdr:spPr bwMode="auto">
        <a:xfrm>
          <a:off x="1714500" y="5046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136</xdr:row>
      <xdr:rowOff>0</xdr:rowOff>
    </xdr:from>
    <xdr:ext cx="104775" cy="210011"/>
    <xdr:sp macro="" textlink="">
      <xdr:nvSpPr>
        <xdr:cNvPr id="19" name="Text Box 249">
          <a:extLst>
            <a:ext uri="{FF2B5EF4-FFF2-40B4-BE49-F238E27FC236}">
              <a16:creationId xmlns:a16="http://schemas.microsoft.com/office/drawing/2014/main" id="{49A01392-76EC-4B47-B8AB-B4F212D6C4E4}"/>
            </a:ext>
          </a:extLst>
        </xdr:cNvPr>
        <xdr:cNvSpPr txBox="1">
          <a:spLocks noChangeArrowheads="1"/>
        </xdr:cNvSpPr>
      </xdr:nvSpPr>
      <xdr:spPr bwMode="auto">
        <a:xfrm>
          <a:off x="2501900" y="50461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136</xdr:row>
      <xdr:rowOff>0</xdr:rowOff>
    </xdr:from>
    <xdr:ext cx="120015" cy="226369"/>
    <xdr:sp macro="" textlink="">
      <xdr:nvSpPr>
        <xdr:cNvPr id="20" name="Text Box 249">
          <a:extLst>
            <a:ext uri="{FF2B5EF4-FFF2-40B4-BE49-F238E27FC236}">
              <a16:creationId xmlns:a16="http://schemas.microsoft.com/office/drawing/2014/main" id="{72ED05E4-8656-471F-B22A-46E3C9432C23}"/>
            </a:ext>
          </a:extLst>
        </xdr:cNvPr>
        <xdr:cNvSpPr txBox="1">
          <a:spLocks noChangeArrowheads="1"/>
        </xdr:cNvSpPr>
      </xdr:nvSpPr>
      <xdr:spPr bwMode="auto">
        <a:xfrm>
          <a:off x="2501900" y="5046133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169</xdr:row>
      <xdr:rowOff>0</xdr:rowOff>
    </xdr:from>
    <xdr:ext cx="104775" cy="213034"/>
    <xdr:sp macro="" textlink="">
      <xdr:nvSpPr>
        <xdr:cNvPr id="21" name="Text Box 249">
          <a:extLst>
            <a:ext uri="{FF2B5EF4-FFF2-40B4-BE49-F238E27FC236}">
              <a16:creationId xmlns:a16="http://schemas.microsoft.com/office/drawing/2014/main" id="{A15E7C53-31F9-44D9-8628-2D38AA8869A2}"/>
            </a:ext>
          </a:extLst>
        </xdr:cNvPr>
        <xdr:cNvSpPr txBox="1">
          <a:spLocks noChangeArrowheads="1"/>
        </xdr:cNvSpPr>
      </xdr:nvSpPr>
      <xdr:spPr bwMode="auto">
        <a:xfrm>
          <a:off x="2501900" y="6773333"/>
          <a:ext cx="104775" cy="2130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22" name="Text Box 249">
          <a:extLst>
            <a:ext uri="{FF2B5EF4-FFF2-40B4-BE49-F238E27FC236}">
              <a16:creationId xmlns:a16="http://schemas.microsoft.com/office/drawing/2014/main" id="{E4FB78C0-3A49-4113-B08F-D35022C206BF}"/>
            </a:ext>
          </a:extLst>
        </xdr:cNvPr>
        <xdr:cNvSpPr txBox="1">
          <a:spLocks noChangeArrowheads="1"/>
        </xdr:cNvSpPr>
      </xdr:nvSpPr>
      <xdr:spPr bwMode="auto">
        <a:xfrm>
          <a:off x="1714500" y="8280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23" name="Text Box 249">
          <a:extLst>
            <a:ext uri="{FF2B5EF4-FFF2-40B4-BE49-F238E27FC236}">
              <a16:creationId xmlns:a16="http://schemas.microsoft.com/office/drawing/2014/main" id="{794384E3-5C5C-4970-B071-894302CB9903}"/>
            </a:ext>
          </a:extLst>
        </xdr:cNvPr>
        <xdr:cNvSpPr txBox="1">
          <a:spLocks noChangeArrowheads="1"/>
        </xdr:cNvSpPr>
      </xdr:nvSpPr>
      <xdr:spPr bwMode="auto">
        <a:xfrm>
          <a:off x="2156460" y="8280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24" name="Text Box 249">
          <a:extLst>
            <a:ext uri="{FF2B5EF4-FFF2-40B4-BE49-F238E27FC236}">
              <a16:creationId xmlns:a16="http://schemas.microsoft.com/office/drawing/2014/main" id="{682E4C67-7761-4001-9135-860B35A160F4}"/>
            </a:ext>
          </a:extLst>
        </xdr:cNvPr>
        <xdr:cNvSpPr txBox="1">
          <a:spLocks noChangeArrowheads="1"/>
        </xdr:cNvSpPr>
      </xdr:nvSpPr>
      <xdr:spPr bwMode="auto">
        <a:xfrm>
          <a:off x="1714500" y="8280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25" name="Text Box 249">
          <a:extLst>
            <a:ext uri="{FF2B5EF4-FFF2-40B4-BE49-F238E27FC236}">
              <a16:creationId xmlns:a16="http://schemas.microsoft.com/office/drawing/2014/main" id="{B3ECFEF2-1567-40AC-8028-80596F2EC36C}"/>
            </a:ext>
          </a:extLst>
        </xdr:cNvPr>
        <xdr:cNvSpPr txBox="1">
          <a:spLocks noChangeArrowheads="1"/>
        </xdr:cNvSpPr>
      </xdr:nvSpPr>
      <xdr:spPr bwMode="auto">
        <a:xfrm>
          <a:off x="2501900" y="8280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26" name="Text Box 249">
          <a:extLst>
            <a:ext uri="{FF2B5EF4-FFF2-40B4-BE49-F238E27FC236}">
              <a16:creationId xmlns:a16="http://schemas.microsoft.com/office/drawing/2014/main" id="{8F128207-7249-482D-A4E8-3A50C1F9540B}"/>
            </a:ext>
          </a:extLst>
        </xdr:cNvPr>
        <xdr:cNvSpPr txBox="1">
          <a:spLocks noChangeArrowheads="1"/>
        </xdr:cNvSpPr>
      </xdr:nvSpPr>
      <xdr:spPr bwMode="auto">
        <a:xfrm>
          <a:off x="2501900" y="82804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27" name="Text Box 249">
          <a:extLst>
            <a:ext uri="{FF2B5EF4-FFF2-40B4-BE49-F238E27FC236}">
              <a16:creationId xmlns:a16="http://schemas.microsoft.com/office/drawing/2014/main" id="{5E14C500-E907-47A9-ABAF-E521B9DEB7D2}"/>
            </a:ext>
          </a:extLst>
        </xdr:cNvPr>
        <xdr:cNvSpPr txBox="1">
          <a:spLocks noChangeArrowheads="1"/>
        </xdr:cNvSpPr>
      </xdr:nvSpPr>
      <xdr:spPr bwMode="auto">
        <a:xfrm>
          <a:off x="1714500" y="8280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28" name="Text Box 249">
          <a:extLst>
            <a:ext uri="{FF2B5EF4-FFF2-40B4-BE49-F238E27FC236}">
              <a16:creationId xmlns:a16="http://schemas.microsoft.com/office/drawing/2014/main" id="{1059B1DA-3E19-4985-BCD8-5856C7D29F24}"/>
            </a:ext>
          </a:extLst>
        </xdr:cNvPr>
        <xdr:cNvSpPr txBox="1">
          <a:spLocks noChangeArrowheads="1"/>
        </xdr:cNvSpPr>
      </xdr:nvSpPr>
      <xdr:spPr bwMode="auto">
        <a:xfrm>
          <a:off x="2501900" y="82804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29" name="Text Box 249">
          <a:extLst>
            <a:ext uri="{FF2B5EF4-FFF2-40B4-BE49-F238E27FC236}">
              <a16:creationId xmlns:a16="http://schemas.microsoft.com/office/drawing/2014/main" id="{9E6533FE-E764-4D89-8777-957C06A581ED}"/>
            </a:ext>
          </a:extLst>
        </xdr:cNvPr>
        <xdr:cNvSpPr txBox="1">
          <a:spLocks noChangeArrowheads="1"/>
        </xdr:cNvSpPr>
      </xdr:nvSpPr>
      <xdr:spPr bwMode="auto">
        <a:xfrm>
          <a:off x="2501900" y="82804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136</xdr:row>
      <xdr:rowOff>0</xdr:rowOff>
    </xdr:from>
    <xdr:ext cx="104775" cy="208801"/>
    <xdr:sp macro="" textlink="">
      <xdr:nvSpPr>
        <xdr:cNvPr id="30" name="Text Box 249">
          <a:extLst>
            <a:ext uri="{FF2B5EF4-FFF2-40B4-BE49-F238E27FC236}">
              <a16:creationId xmlns:a16="http://schemas.microsoft.com/office/drawing/2014/main" id="{341C73A0-75A5-47A7-8AC7-5C718931AAA6}"/>
            </a:ext>
          </a:extLst>
        </xdr:cNvPr>
        <xdr:cNvSpPr txBox="1">
          <a:spLocks noChangeArrowheads="1"/>
        </xdr:cNvSpPr>
      </xdr:nvSpPr>
      <xdr:spPr bwMode="auto">
        <a:xfrm>
          <a:off x="1714500" y="79163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136</xdr:row>
      <xdr:rowOff>0</xdr:rowOff>
    </xdr:from>
    <xdr:ext cx="104775" cy="208801"/>
    <xdr:sp macro="" textlink="">
      <xdr:nvSpPr>
        <xdr:cNvPr id="31" name="Text Box 249">
          <a:extLst>
            <a:ext uri="{FF2B5EF4-FFF2-40B4-BE49-F238E27FC236}">
              <a16:creationId xmlns:a16="http://schemas.microsoft.com/office/drawing/2014/main" id="{41656727-A40E-4BF0-82F4-010D27B8A8C2}"/>
            </a:ext>
          </a:extLst>
        </xdr:cNvPr>
        <xdr:cNvSpPr txBox="1">
          <a:spLocks noChangeArrowheads="1"/>
        </xdr:cNvSpPr>
      </xdr:nvSpPr>
      <xdr:spPr bwMode="auto">
        <a:xfrm>
          <a:off x="2156460" y="79163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136</xdr:row>
      <xdr:rowOff>0</xdr:rowOff>
    </xdr:from>
    <xdr:ext cx="104775" cy="208801"/>
    <xdr:sp macro="" textlink="">
      <xdr:nvSpPr>
        <xdr:cNvPr id="32" name="Text Box 249">
          <a:extLst>
            <a:ext uri="{FF2B5EF4-FFF2-40B4-BE49-F238E27FC236}">
              <a16:creationId xmlns:a16="http://schemas.microsoft.com/office/drawing/2014/main" id="{8D1A06FC-7B7F-4AC9-AD28-2F241070CD8C}"/>
            </a:ext>
          </a:extLst>
        </xdr:cNvPr>
        <xdr:cNvSpPr txBox="1">
          <a:spLocks noChangeArrowheads="1"/>
        </xdr:cNvSpPr>
      </xdr:nvSpPr>
      <xdr:spPr bwMode="auto">
        <a:xfrm>
          <a:off x="1714500" y="79163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136</xdr:row>
      <xdr:rowOff>0</xdr:rowOff>
    </xdr:from>
    <xdr:ext cx="104775" cy="208801"/>
    <xdr:sp macro="" textlink="">
      <xdr:nvSpPr>
        <xdr:cNvPr id="33" name="Text Box 249">
          <a:extLst>
            <a:ext uri="{FF2B5EF4-FFF2-40B4-BE49-F238E27FC236}">
              <a16:creationId xmlns:a16="http://schemas.microsoft.com/office/drawing/2014/main" id="{F90D81E8-88FB-46D4-844B-CDCC6090457F}"/>
            </a:ext>
          </a:extLst>
        </xdr:cNvPr>
        <xdr:cNvSpPr txBox="1">
          <a:spLocks noChangeArrowheads="1"/>
        </xdr:cNvSpPr>
      </xdr:nvSpPr>
      <xdr:spPr bwMode="auto">
        <a:xfrm>
          <a:off x="2501900" y="79163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136</xdr:row>
      <xdr:rowOff>0</xdr:rowOff>
    </xdr:from>
    <xdr:ext cx="104775" cy="213036"/>
    <xdr:sp macro="" textlink="">
      <xdr:nvSpPr>
        <xdr:cNvPr id="34" name="Text Box 249">
          <a:extLst>
            <a:ext uri="{FF2B5EF4-FFF2-40B4-BE49-F238E27FC236}">
              <a16:creationId xmlns:a16="http://schemas.microsoft.com/office/drawing/2014/main" id="{DEE9CDC7-1014-4CE7-AFA3-FF36077244DC}"/>
            </a:ext>
          </a:extLst>
        </xdr:cNvPr>
        <xdr:cNvSpPr txBox="1">
          <a:spLocks noChangeArrowheads="1"/>
        </xdr:cNvSpPr>
      </xdr:nvSpPr>
      <xdr:spPr bwMode="auto">
        <a:xfrm>
          <a:off x="2501900" y="7916333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136</xdr:row>
      <xdr:rowOff>0</xdr:rowOff>
    </xdr:from>
    <xdr:ext cx="104775" cy="208801"/>
    <xdr:sp macro="" textlink="">
      <xdr:nvSpPr>
        <xdr:cNvPr id="35" name="Text Box 249">
          <a:extLst>
            <a:ext uri="{FF2B5EF4-FFF2-40B4-BE49-F238E27FC236}">
              <a16:creationId xmlns:a16="http://schemas.microsoft.com/office/drawing/2014/main" id="{21E69571-7F9B-420A-8B35-201C64AB06CC}"/>
            </a:ext>
          </a:extLst>
        </xdr:cNvPr>
        <xdr:cNvSpPr txBox="1">
          <a:spLocks noChangeArrowheads="1"/>
        </xdr:cNvSpPr>
      </xdr:nvSpPr>
      <xdr:spPr bwMode="auto">
        <a:xfrm>
          <a:off x="1714500" y="79163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136</xdr:row>
      <xdr:rowOff>0</xdr:rowOff>
    </xdr:from>
    <xdr:ext cx="104775" cy="210011"/>
    <xdr:sp macro="" textlink="">
      <xdr:nvSpPr>
        <xdr:cNvPr id="36" name="Text Box 249">
          <a:extLst>
            <a:ext uri="{FF2B5EF4-FFF2-40B4-BE49-F238E27FC236}">
              <a16:creationId xmlns:a16="http://schemas.microsoft.com/office/drawing/2014/main" id="{B8A7B85B-101C-445A-93F0-039090E254E1}"/>
            </a:ext>
          </a:extLst>
        </xdr:cNvPr>
        <xdr:cNvSpPr txBox="1">
          <a:spLocks noChangeArrowheads="1"/>
        </xdr:cNvSpPr>
      </xdr:nvSpPr>
      <xdr:spPr bwMode="auto">
        <a:xfrm>
          <a:off x="2501900" y="79163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136</xdr:row>
      <xdr:rowOff>0</xdr:rowOff>
    </xdr:from>
    <xdr:ext cx="120015" cy="226369"/>
    <xdr:sp macro="" textlink="">
      <xdr:nvSpPr>
        <xdr:cNvPr id="37" name="Text Box 249">
          <a:extLst>
            <a:ext uri="{FF2B5EF4-FFF2-40B4-BE49-F238E27FC236}">
              <a16:creationId xmlns:a16="http://schemas.microsoft.com/office/drawing/2014/main" id="{909A3B3E-10C3-48EF-BE58-EAB66917FECC}"/>
            </a:ext>
          </a:extLst>
        </xdr:cNvPr>
        <xdr:cNvSpPr txBox="1">
          <a:spLocks noChangeArrowheads="1"/>
        </xdr:cNvSpPr>
      </xdr:nvSpPr>
      <xdr:spPr bwMode="auto">
        <a:xfrm>
          <a:off x="2501900" y="7916333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137</xdr:row>
      <xdr:rowOff>0</xdr:rowOff>
    </xdr:from>
    <xdr:ext cx="104775" cy="208801"/>
    <xdr:sp macro="" textlink="">
      <xdr:nvSpPr>
        <xdr:cNvPr id="38" name="Text Box 249">
          <a:extLst>
            <a:ext uri="{FF2B5EF4-FFF2-40B4-BE49-F238E27FC236}">
              <a16:creationId xmlns:a16="http://schemas.microsoft.com/office/drawing/2014/main" id="{E0B21859-2413-477E-84E4-A57B09AF6E8A}"/>
            </a:ext>
          </a:extLst>
        </xdr:cNvPr>
        <xdr:cNvSpPr txBox="1">
          <a:spLocks noChangeArrowheads="1"/>
        </xdr:cNvSpPr>
      </xdr:nvSpPr>
      <xdr:spPr bwMode="auto">
        <a:xfrm>
          <a:off x="27660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137</xdr:row>
      <xdr:rowOff>0</xdr:rowOff>
    </xdr:from>
    <xdr:ext cx="104775" cy="208801"/>
    <xdr:sp macro="" textlink="">
      <xdr:nvSpPr>
        <xdr:cNvPr id="39" name="Text Box 249">
          <a:extLst>
            <a:ext uri="{FF2B5EF4-FFF2-40B4-BE49-F238E27FC236}">
              <a16:creationId xmlns:a16="http://schemas.microsoft.com/office/drawing/2014/main" id="{F9D6C68B-FFE2-484F-A496-02E9E4DF3A8B}"/>
            </a:ext>
          </a:extLst>
        </xdr:cNvPr>
        <xdr:cNvSpPr txBox="1">
          <a:spLocks noChangeArrowheads="1"/>
        </xdr:cNvSpPr>
      </xdr:nvSpPr>
      <xdr:spPr bwMode="auto">
        <a:xfrm>
          <a:off x="320802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137</xdr:row>
      <xdr:rowOff>0</xdr:rowOff>
    </xdr:from>
    <xdr:ext cx="104775" cy="208801"/>
    <xdr:sp macro="" textlink="">
      <xdr:nvSpPr>
        <xdr:cNvPr id="40" name="Text Box 249">
          <a:extLst>
            <a:ext uri="{FF2B5EF4-FFF2-40B4-BE49-F238E27FC236}">
              <a16:creationId xmlns:a16="http://schemas.microsoft.com/office/drawing/2014/main" id="{A2E97316-D08E-4574-9791-31DF357EB4EE}"/>
            </a:ext>
          </a:extLst>
        </xdr:cNvPr>
        <xdr:cNvSpPr txBox="1">
          <a:spLocks noChangeArrowheads="1"/>
        </xdr:cNvSpPr>
      </xdr:nvSpPr>
      <xdr:spPr bwMode="auto">
        <a:xfrm>
          <a:off x="27660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137</xdr:row>
      <xdr:rowOff>0</xdr:rowOff>
    </xdr:from>
    <xdr:ext cx="104775" cy="208801"/>
    <xdr:sp macro="" textlink="">
      <xdr:nvSpPr>
        <xdr:cNvPr id="41" name="Text Box 249">
          <a:extLst>
            <a:ext uri="{FF2B5EF4-FFF2-40B4-BE49-F238E27FC236}">
              <a16:creationId xmlns:a16="http://schemas.microsoft.com/office/drawing/2014/main" id="{1C8F846B-AC8D-44D5-8004-EB9AC86A213B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137</xdr:row>
      <xdr:rowOff>0</xdr:rowOff>
    </xdr:from>
    <xdr:ext cx="104775" cy="213036"/>
    <xdr:sp macro="" textlink="">
      <xdr:nvSpPr>
        <xdr:cNvPr id="42" name="Text Box 249">
          <a:extLst>
            <a:ext uri="{FF2B5EF4-FFF2-40B4-BE49-F238E27FC236}">
              <a16:creationId xmlns:a16="http://schemas.microsoft.com/office/drawing/2014/main" id="{D12E2D09-C545-4352-8E88-00934FB28AD8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137</xdr:row>
      <xdr:rowOff>0</xdr:rowOff>
    </xdr:from>
    <xdr:ext cx="104775" cy="208801"/>
    <xdr:sp macro="" textlink="">
      <xdr:nvSpPr>
        <xdr:cNvPr id="43" name="Text Box 249">
          <a:extLst>
            <a:ext uri="{FF2B5EF4-FFF2-40B4-BE49-F238E27FC236}">
              <a16:creationId xmlns:a16="http://schemas.microsoft.com/office/drawing/2014/main" id="{2F5DB7D2-9969-45F4-BAC5-8E6779EB6804}"/>
            </a:ext>
          </a:extLst>
        </xdr:cNvPr>
        <xdr:cNvSpPr txBox="1">
          <a:spLocks noChangeArrowheads="1"/>
        </xdr:cNvSpPr>
      </xdr:nvSpPr>
      <xdr:spPr bwMode="auto">
        <a:xfrm>
          <a:off x="27660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137</xdr:row>
      <xdr:rowOff>0</xdr:rowOff>
    </xdr:from>
    <xdr:ext cx="104775" cy="210011"/>
    <xdr:sp macro="" textlink="">
      <xdr:nvSpPr>
        <xdr:cNvPr id="44" name="Text Box 249">
          <a:extLst>
            <a:ext uri="{FF2B5EF4-FFF2-40B4-BE49-F238E27FC236}">
              <a16:creationId xmlns:a16="http://schemas.microsoft.com/office/drawing/2014/main" id="{F5C0B6B4-2EE9-4E11-92A8-54D11CB5F624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137</xdr:row>
      <xdr:rowOff>0</xdr:rowOff>
    </xdr:from>
    <xdr:ext cx="120015" cy="226369"/>
    <xdr:sp macro="" textlink="">
      <xdr:nvSpPr>
        <xdr:cNvPr id="45" name="Text Box 249">
          <a:extLst>
            <a:ext uri="{FF2B5EF4-FFF2-40B4-BE49-F238E27FC236}">
              <a16:creationId xmlns:a16="http://schemas.microsoft.com/office/drawing/2014/main" id="{5426D77A-DFBC-4481-8CF1-3EC921064263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137</xdr:row>
      <xdr:rowOff>0</xdr:rowOff>
    </xdr:from>
    <xdr:ext cx="104775" cy="208801"/>
    <xdr:sp macro="" textlink="">
      <xdr:nvSpPr>
        <xdr:cNvPr id="46" name="Text Box 249">
          <a:extLst>
            <a:ext uri="{FF2B5EF4-FFF2-40B4-BE49-F238E27FC236}">
              <a16:creationId xmlns:a16="http://schemas.microsoft.com/office/drawing/2014/main" id="{79861821-E470-4B68-8BEF-521718C9497A}"/>
            </a:ext>
          </a:extLst>
        </xdr:cNvPr>
        <xdr:cNvSpPr txBox="1">
          <a:spLocks noChangeArrowheads="1"/>
        </xdr:cNvSpPr>
      </xdr:nvSpPr>
      <xdr:spPr bwMode="auto">
        <a:xfrm>
          <a:off x="27660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137</xdr:row>
      <xdr:rowOff>0</xdr:rowOff>
    </xdr:from>
    <xdr:ext cx="104775" cy="208801"/>
    <xdr:sp macro="" textlink="">
      <xdr:nvSpPr>
        <xdr:cNvPr id="47" name="Text Box 249">
          <a:extLst>
            <a:ext uri="{FF2B5EF4-FFF2-40B4-BE49-F238E27FC236}">
              <a16:creationId xmlns:a16="http://schemas.microsoft.com/office/drawing/2014/main" id="{E07BAE62-BF40-499F-8E01-5DF8877C68A6}"/>
            </a:ext>
          </a:extLst>
        </xdr:cNvPr>
        <xdr:cNvSpPr txBox="1">
          <a:spLocks noChangeArrowheads="1"/>
        </xdr:cNvSpPr>
      </xdr:nvSpPr>
      <xdr:spPr bwMode="auto">
        <a:xfrm>
          <a:off x="320802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137</xdr:row>
      <xdr:rowOff>0</xdr:rowOff>
    </xdr:from>
    <xdr:ext cx="104775" cy="208801"/>
    <xdr:sp macro="" textlink="">
      <xdr:nvSpPr>
        <xdr:cNvPr id="48" name="Text Box 249">
          <a:extLst>
            <a:ext uri="{FF2B5EF4-FFF2-40B4-BE49-F238E27FC236}">
              <a16:creationId xmlns:a16="http://schemas.microsoft.com/office/drawing/2014/main" id="{E96B08F4-5F43-4127-91B6-EB120E62D447}"/>
            </a:ext>
          </a:extLst>
        </xdr:cNvPr>
        <xdr:cNvSpPr txBox="1">
          <a:spLocks noChangeArrowheads="1"/>
        </xdr:cNvSpPr>
      </xdr:nvSpPr>
      <xdr:spPr bwMode="auto">
        <a:xfrm>
          <a:off x="27660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137</xdr:row>
      <xdr:rowOff>0</xdr:rowOff>
    </xdr:from>
    <xdr:ext cx="104775" cy="208801"/>
    <xdr:sp macro="" textlink="">
      <xdr:nvSpPr>
        <xdr:cNvPr id="49" name="Text Box 249">
          <a:extLst>
            <a:ext uri="{FF2B5EF4-FFF2-40B4-BE49-F238E27FC236}">
              <a16:creationId xmlns:a16="http://schemas.microsoft.com/office/drawing/2014/main" id="{D2657DFA-D1D7-416D-93CA-55B92D7D70A0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137</xdr:row>
      <xdr:rowOff>0</xdr:rowOff>
    </xdr:from>
    <xdr:ext cx="104775" cy="213036"/>
    <xdr:sp macro="" textlink="">
      <xdr:nvSpPr>
        <xdr:cNvPr id="50" name="Text Box 249">
          <a:extLst>
            <a:ext uri="{FF2B5EF4-FFF2-40B4-BE49-F238E27FC236}">
              <a16:creationId xmlns:a16="http://schemas.microsoft.com/office/drawing/2014/main" id="{7969CD9B-7552-43BF-A271-4459551961B2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137</xdr:row>
      <xdr:rowOff>0</xdr:rowOff>
    </xdr:from>
    <xdr:ext cx="104775" cy="210011"/>
    <xdr:sp macro="" textlink="">
      <xdr:nvSpPr>
        <xdr:cNvPr id="52" name="Text Box 249">
          <a:extLst>
            <a:ext uri="{FF2B5EF4-FFF2-40B4-BE49-F238E27FC236}">
              <a16:creationId xmlns:a16="http://schemas.microsoft.com/office/drawing/2014/main" id="{D607EB5F-F1DB-4075-BA8B-974311981F0F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137</xdr:row>
      <xdr:rowOff>0</xdr:rowOff>
    </xdr:from>
    <xdr:ext cx="120015" cy="226369"/>
    <xdr:sp macro="" textlink="">
      <xdr:nvSpPr>
        <xdr:cNvPr id="53" name="Text Box 249">
          <a:extLst>
            <a:ext uri="{FF2B5EF4-FFF2-40B4-BE49-F238E27FC236}">
              <a16:creationId xmlns:a16="http://schemas.microsoft.com/office/drawing/2014/main" id="{1AA35DF6-DDF5-4354-B6BF-6CB5CABA5F1D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54" name="Text Box 249">
          <a:extLst>
            <a:ext uri="{FF2B5EF4-FFF2-40B4-BE49-F238E27FC236}">
              <a16:creationId xmlns:a16="http://schemas.microsoft.com/office/drawing/2014/main" id="{3F999C4E-F5F1-4C2C-8154-3815468DA5D5}"/>
            </a:ext>
          </a:extLst>
        </xdr:cNvPr>
        <xdr:cNvSpPr txBox="1">
          <a:spLocks noChangeArrowheads="1"/>
        </xdr:cNvSpPr>
      </xdr:nvSpPr>
      <xdr:spPr bwMode="auto">
        <a:xfrm>
          <a:off x="27660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138</xdr:row>
      <xdr:rowOff>0</xdr:rowOff>
    </xdr:from>
    <xdr:ext cx="104775" cy="208801"/>
    <xdr:sp macro="" textlink="">
      <xdr:nvSpPr>
        <xdr:cNvPr id="55" name="Text Box 249">
          <a:extLst>
            <a:ext uri="{FF2B5EF4-FFF2-40B4-BE49-F238E27FC236}">
              <a16:creationId xmlns:a16="http://schemas.microsoft.com/office/drawing/2014/main" id="{6369C121-3E3B-4AF2-BB6D-C2203B37EC97}"/>
            </a:ext>
          </a:extLst>
        </xdr:cNvPr>
        <xdr:cNvSpPr txBox="1">
          <a:spLocks noChangeArrowheads="1"/>
        </xdr:cNvSpPr>
      </xdr:nvSpPr>
      <xdr:spPr bwMode="auto">
        <a:xfrm>
          <a:off x="320802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56" name="Text Box 249">
          <a:extLst>
            <a:ext uri="{FF2B5EF4-FFF2-40B4-BE49-F238E27FC236}">
              <a16:creationId xmlns:a16="http://schemas.microsoft.com/office/drawing/2014/main" id="{F1571F81-2862-40EF-B077-DD5C942303A1}"/>
            </a:ext>
          </a:extLst>
        </xdr:cNvPr>
        <xdr:cNvSpPr txBox="1">
          <a:spLocks noChangeArrowheads="1"/>
        </xdr:cNvSpPr>
      </xdr:nvSpPr>
      <xdr:spPr bwMode="auto">
        <a:xfrm>
          <a:off x="27660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57" name="Text Box 249">
          <a:extLst>
            <a:ext uri="{FF2B5EF4-FFF2-40B4-BE49-F238E27FC236}">
              <a16:creationId xmlns:a16="http://schemas.microsoft.com/office/drawing/2014/main" id="{02FD873B-6713-47D8-B86E-F390A89F41C5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58" name="Text Box 249">
          <a:extLst>
            <a:ext uri="{FF2B5EF4-FFF2-40B4-BE49-F238E27FC236}">
              <a16:creationId xmlns:a16="http://schemas.microsoft.com/office/drawing/2014/main" id="{76DB98EE-6BD5-4557-9783-299D99CA4181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59" name="Text Box 249">
          <a:extLst>
            <a:ext uri="{FF2B5EF4-FFF2-40B4-BE49-F238E27FC236}">
              <a16:creationId xmlns:a16="http://schemas.microsoft.com/office/drawing/2014/main" id="{EBC85106-D83D-4DCB-9659-76659D64884A}"/>
            </a:ext>
          </a:extLst>
        </xdr:cNvPr>
        <xdr:cNvSpPr txBox="1">
          <a:spLocks noChangeArrowheads="1"/>
        </xdr:cNvSpPr>
      </xdr:nvSpPr>
      <xdr:spPr bwMode="auto">
        <a:xfrm>
          <a:off x="27660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60" name="Text Box 249">
          <a:extLst>
            <a:ext uri="{FF2B5EF4-FFF2-40B4-BE49-F238E27FC236}">
              <a16:creationId xmlns:a16="http://schemas.microsoft.com/office/drawing/2014/main" id="{6868BADC-6F9C-465C-BB37-605CFE953691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61" name="Text Box 249">
          <a:extLst>
            <a:ext uri="{FF2B5EF4-FFF2-40B4-BE49-F238E27FC236}">
              <a16:creationId xmlns:a16="http://schemas.microsoft.com/office/drawing/2014/main" id="{F735CC7F-6249-4F7B-BAEC-C9F0A8F2A7AA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62" name="Text Box 249">
          <a:extLst>
            <a:ext uri="{FF2B5EF4-FFF2-40B4-BE49-F238E27FC236}">
              <a16:creationId xmlns:a16="http://schemas.microsoft.com/office/drawing/2014/main" id="{09E44846-1F30-4372-A41B-FD0DAF12C226}"/>
            </a:ext>
          </a:extLst>
        </xdr:cNvPr>
        <xdr:cNvSpPr txBox="1">
          <a:spLocks noChangeArrowheads="1"/>
        </xdr:cNvSpPr>
      </xdr:nvSpPr>
      <xdr:spPr bwMode="auto">
        <a:xfrm>
          <a:off x="27660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138</xdr:row>
      <xdr:rowOff>0</xdr:rowOff>
    </xdr:from>
    <xdr:ext cx="104775" cy="208801"/>
    <xdr:sp macro="" textlink="">
      <xdr:nvSpPr>
        <xdr:cNvPr id="63" name="Text Box 249">
          <a:extLst>
            <a:ext uri="{FF2B5EF4-FFF2-40B4-BE49-F238E27FC236}">
              <a16:creationId xmlns:a16="http://schemas.microsoft.com/office/drawing/2014/main" id="{56AADB22-2D11-4259-BFB0-86B5D92A59CC}"/>
            </a:ext>
          </a:extLst>
        </xdr:cNvPr>
        <xdr:cNvSpPr txBox="1">
          <a:spLocks noChangeArrowheads="1"/>
        </xdr:cNvSpPr>
      </xdr:nvSpPr>
      <xdr:spPr bwMode="auto">
        <a:xfrm>
          <a:off x="320802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64" name="Text Box 249">
          <a:extLst>
            <a:ext uri="{FF2B5EF4-FFF2-40B4-BE49-F238E27FC236}">
              <a16:creationId xmlns:a16="http://schemas.microsoft.com/office/drawing/2014/main" id="{0278BBD0-C911-4A48-9947-968BEBD0A905}"/>
            </a:ext>
          </a:extLst>
        </xdr:cNvPr>
        <xdr:cNvSpPr txBox="1">
          <a:spLocks noChangeArrowheads="1"/>
        </xdr:cNvSpPr>
      </xdr:nvSpPr>
      <xdr:spPr bwMode="auto">
        <a:xfrm>
          <a:off x="27660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65" name="Text Box 249">
          <a:extLst>
            <a:ext uri="{FF2B5EF4-FFF2-40B4-BE49-F238E27FC236}">
              <a16:creationId xmlns:a16="http://schemas.microsoft.com/office/drawing/2014/main" id="{BB93B749-B506-433C-A213-CB82445C8673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66" name="Text Box 249">
          <a:extLst>
            <a:ext uri="{FF2B5EF4-FFF2-40B4-BE49-F238E27FC236}">
              <a16:creationId xmlns:a16="http://schemas.microsoft.com/office/drawing/2014/main" id="{7670817C-C822-4CCB-9D56-FF9D9494D226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67" name="Text Box 249">
          <a:extLst>
            <a:ext uri="{FF2B5EF4-FFF2-40B4-BE49-F238E27FC236}">
              <a16:creationId xmlns:a16="http://schemas.microsoft.com/office/drawing/2014/main" id="{DCAB8A40-E7B2-4035-A050-DE7BDD87DC82}"/>
            </a:ext>
          </a:extLst>
        </xdr:cNvPr>
        <xdr:cNvSpPr txBox="1">
          <a:spLocks noChangeArrowheads="1"/>
        </xdr:cNvSpPr>
      </xdr:nvSpPr>
      <xdr:spPr bwMode="auto">
        <a:xfrm>
          <a:off x="2766060" y="17145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68" name="Text Box 249">
          <a:extLst>
            <a:ext uri="{FF2B5EF4-FFF2-40B4-BE49-F238E27FC236}">
              <a16:creationId xmlns:a16="http://schemas.microsoft.com/office/drawing/2014/main" id="{AE5A1CB3-AB1F-4DCF-B074-8D75CEE65590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69" name="Text Box 249">
          <a:extLst>
            <a:ext uri="{FF2B5EF4-FFF2-40B4-BE49-F238E27FC236}">
              <a16:creationId xmlns:a16="http://schemas.microsoft.com/office/drawing/2014/main" id="{E5D454CE-5BEB-4006-8CCC-9B8A86BC6128}"/>
            </a:ext>
          </a:extLst>
        </xdr:cNvPr>
        <xdr:cNvSpPr txBox="1">
          <a:spLocks noChangeArrowheads="1"/>
        </xdr:cNvSpPr>
      </xdr:nvSpPr>
      <xdr:spPr bwMode="auto">
        <a:xfrm>
          <a:off x="3553460" y="17145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70" name="Text Box 249">
          <a:extLst>
            <a:ext uri="{FF2B5EF4-FFF2-40B4-BE49-F238E27FC236}">
              <a16:creationId xmlns:a16="http://schemas.microsoft.com/office/drawing/2014/main" id="{7C3799AA-C1EF-4DA0-9AE1-2853D54F07B8}"/>
            </a:ext>
          </a:extLst>
        </xdr:cNvPr>
        <xdr:cNvSpPr txBox="1">
          <a:spLocks noChangeArrowheads="1"/>
        </xdr:cNvSpPr>
      </xdr:nvSpPr>
      <xdr:spPr bwMode="auto">
        <a:xfrm>
          <a:off x="2766060" y="17335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72" name="Text Box 249">
          <a:extLst>
            <a:ext uri="{FF2B5EF4-FFF2-40B4-BE49-F238E27FC236}">
              <a16:creationId xmlns:a16="http://schemas.microsoft.com/office/drawing/2014/main" id="{C68144FE-B5CC-423F-9ED6-37F19C3BEB22}"/>
            </a:ext>
          </a:extLst>
        </xdr:cNvPr>
        <xdr:cNvSpPr txBox="1">
          <a:spLocks noChangeArrowheads="1"/>
        </xdr:cNvSpPr>
      </xdr:nvSpPr>
      <xdr:spPr bwMode="auto">
        <a:xfrm>
          <a:off x="2766060" y="17335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73" name="Text Box 249">
          <a:extLst>
            <a:ext uri="{FF2B5EF4-FFF2-40B4-BE49-F238E27FC236}">
              <a16:creationId xmlns:a16="http://schemas.microsoft.com/office/drawing/2014/main" id="{BD73D2C0-A33F-4827-9EAB-02785B8B4401}"/>
            </a:ext>
          </a:extLst>
        </xdr:cNvPr>
        <xdr:cNvSpPr txBox="1">
          <a:spLocks noChangeArrowheads="1"/>
        </xdr:cNvSpPr>
      </xdr:nvSpPr>
      <xdr:spPr bwMode="auto">
        <a:xfrm>
          <a:off x="3553460" y="17335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74" name="Text Box 249">
          <a:extLst>
            <a:ext uri="{FF2B5EF4-FFF2-40B4-BE49-F238E27FC236}">
              <a16:creationId xmlns:a16="http://schemas.microsoft.com/office/drawing/2014/main" id="{C078BB66-5B2D-470E-AFBA-AA124C9768F3}"/>
            </a:ext>
          </a:extLst>
        </xdr:cNvPr>
        <xdr:cNvSpPr txBox="1">
          <a:spLocks noChangeArrowheads="1"/>
        </xdr:cNvSpPr>
      </xdr:nvSpPr>
      <xdr:spPr bwMode="auto">
        <a:xfrm>
          <a:off x="3553460" y="17335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75" name="Text Box 249">
          <a:extLst>
            <a:ext uri="{FF2B5EF4-FFF2-40B4-BE49-F238E27FC236}">
              <a16:creationId xmlns:a16="http://schemas.microsoft.com/office/drawing/2014/main" id="{E88CFE90-FCB2-448F-A9FD-C6E65DA21E02}"/>
            </a:ext>
          </a:extLst>
        </xdr:cNvPr>
        <xdr:cNvSpPr txBox="1">
          <a:spLocks noChangeArrowheads="1"/>
        </xdr:cNvSpPr>
      </xdr:nvSpPr>
      <xdr:spPr bwMode="auto">
        <a:xfrm>
          <a:off x="2766060" y="17335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76" name="Text Box 249">
          <a:extLst>
            <a:ext uri="{FF2B5EF4-FFF2-40B4-BE49-F238E27FC236}">
              <a16:creationId xmlns:a16="http://schemas.microsoft.com/office/drawing/2014/main" id="{F2AA1943-5744-46CD-87A4-27066EFF797B}"/>
            </a:ext>
          </a:extLst>
        </xdr:cNvPr>
        <xdr:cNvSpPr txBox="1">
          <a:spLocks noChangeArrowheads="1"/>
        </xdr:cNvSpPr>
      </xdr:nvSpPr>
      <xdr:spPr bwMode="auto">
        <a:xfrm>
          <a:off x="3553460" y="17335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77" name="Text Box 249">
          <a:extLst>
            <a:ext uri="{FF2B5EF4-FFF2-40B4-BE49-F238E27FC236}">
              <a16:creationId xmlns:a16="http://schemas.microsoft.com/office/drawing/2014/main" id="{5D76940F-6C81-4145-98E1-A3644C28F34E}"/>
            </a:ext>
          </a:extLst>
        </xdr:cNvPr>
        <xdr:cNvSpPr txBox="1">
          <a:spLocks noChangeArrowheads="1"/>
        </xdr:cNvSpPr>
      </xdr:nvSpPr>
      <xdr:spPr bwMode="auto">
        <a:xfrm>
          <a:off x="3553460" y="17335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78" name="Text Box 249">
          <a:extLst>
            <a:ext uri="{FF2B5EF4-FFF2-40B4-BE49-F238E27FC236}">
              <a16:creationId xmlns:a16="http://schemas.microsoft.com/office/drawing/2014/main" id="{890B14EA-1F2E-4B43-9548-6B20AE03844B}"/>
            </a:ext>
          </a:extLst>
        </xdr:cNvPr>
        <xdr:cNvSpPr txBox="1">
          <a:spLocks noChangeArrowheads="1"/>
        </xdr:cNvSpPr>
      </xdr:nvSpPr>
      <xdr:spPr bwMode="auto">
        <a:xfrm>
          <a:off x="2766060" y="17335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80" name="Text Box 249">
          <a:extLst>
            <a:ext uri="{FF2B5EF4-FFF2-40B4-BE49-F238E27FC236}">
              <a16:creationId xmlns:a16="http://schemas.microsoft.com/office/drawing/2014/main" id="{A54DE3D0-303F-4864-A63A-C72E9221DA00}"/>
            </a:ext>
          </a:extLst>
        </xdr:cNvPr>
        <xdr:cNvSpPr txBox="1">
          <a:spLocks noChangeArrowheads="1"/>
        </xdr:cNvSpPr>
      </xdr:nvSpPr>
      <xdr:spPr bwMode="auto">
        <a:xfrm>
          <a:off x="2766060" y="17335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81" name="Text Box 249">
          <a:extLst>
            <a:ext uri="{FF2B5EF4-FFF2-40B4-BE49-F238E27FC236}">
              <a16:creationId xmlns:a16="http://schemas.microsoft.com/office/drawing/2014/main" id="{3AB1BEBD-4367-4461-B0A8-1A3E75507EF5}"/>
            </a:ext>
          </a:extLst>
        </xdr:cNvPr>
        <xdr:cNvSpPr txBox="1">
          <a:spLocks noChangeArrowheads="1"/>
        </xdr:cNvSpPr>
      </xdr:nvSpPr>
      <xdr:spPr bwMode="auto">
        <a:xfrm>
          <a:off x="3553460" y="17335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82" name="Text Box 249">
          <a:extLst>
            <a:ext uri="{FF2B5EF4-FFF2-40B4-BE49-F238E27FC236}">
              <a16:creationId xmlns:a16="http://schemas.microsoft.com/office/drawing/2014/main" id="{BFC3517F-EB41-4C68-BB22-6709761D749B}"/>
            </a:ext>
          </a:extLst>
        </xdr:cNvPr>
        <xdr:cNvSpPr txBox="1">
          <a:spLocks noChangeArrowheads="1"/>
        </xdr:cNvSpPr>
      </xdr:nvSpPr>
      <xdr:spPr bwMode="auto">
        <a:xfrm>
          <a:off x="3553460" y="17335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83" name="Text Box 249">
          <a:extLst>
            <a:ext uri="{FF2B5EF4-FFF2-40B4-BE49-F238E27FC236}">
              <a16:creationId xmlns:a16="http://schemas.microsoft.com/office/drawing/2014/main" id="{D8594CE8-2C9D-472C-9E96-414F14B66287}"/>
            </a:ext>
          </a:extLst>
        </xdr:cNvPr>
        <xdr:cNvSpPr txBox="1">
          <a:spLocks noChangeArrowheads="1"/>
        </xdr:cNvSpPr>
      </xdr:nvSpPr>
      <xdr:spPr bwMode="auto">
        <a:xfrm>
          <a:off x="2766060" y="17335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84" name="Text Box 249">
          <a:extLst>
            <a:ext uri="{FF2B5EF4-FFF2-40B4-BE49-F238E27FC236}">
              <a16:creationId xmlns:a16="http://schemas.microsoft.com/office/drawing/2014/main" id="{8DA951D1-78B9-4EB5-98BB-676CE5E6B54D}"/>
            </a:ext>
          </a:extLst>
        </xdr:cNvPr>
        <xdr:cNvSpPr txBox="1">
          <a:spLocks noChangeArrowheads="1"/>
        </xdr:cNvSpPr>
      </xdr:nvSpPr>
      <xdr:spPr bwMode="auto">
        <a:xfrm>
          <a:off x="3553460" y="17335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85" name="Text Box 249">
          <a:extLst>
            <a:ext uri="{FF2B5EF4-FFF2-40B4-BE49-F238E27FC236}">
              <a16:creationId xmlns:a16="http://schemas.microsoft.com/office/drawing/2014/main" id="{3FADA701-D5E7-48BB-A07D-3ABB6CDE4054}"/>
            </a:ext>
          </a:extLst>
        </xdr:cNvPr>
        <xdr:cNvSpPr txBox="1">
          <a:spLocks noChangeArrowheads="1"/>
        </xdr:cNvSpPr>
      </xdr:nvSpPr>
      <xdr:spPr bwMode="auto">
        <a:xfrm>
          <a:off x="3553460" y="17335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86" name="Text Box 249">
          <a:extLst>
            <a:ext uri="{FF2B5EF4-FFF2-40B4-BE49-F238E27FC236}">
              <a16:creationId xmlns:a16="http://schemas.microsoft.com/office/drawing/2014/main" id="{E4A64CCB-1EA9-4A83-8081-1965B2EF8695}"/>
            </a:ext>
          </a:extLst>
        </xdr:cNvPr>
        <xdr:cNvSpPr txBox="1">
          <a:spLocks noChangeArrowheads="1"/>
        </xdr:cNvSpPr>
      </xdr:nvSpPr>
      <xdr:spPr bwMode="auto">
        <a:xfrm>
          <a:off x="2766060" y="17526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138</xdr:row>
      <xdr:rowOff>0</xdr:rowOff>
    </xdr:from>
    <xdr:ext cx="104775" cy="208801"/>
    <xdr:sp macro="" textlink="">
      <xdr:nvSpPr>
        <xdr:cNvPr id="87" name="Text Box 249">
          <a:extLst>
            <a:ext uri="{FF2B5EF4-FFF2-40B4-BE49-F238E27FC236}">
              <a16:creationId xmlns:a16="http://schemas.microsoft.com/office/drawing/2014/main" id="{909D2D85-6B7B-4155-AFAB-298E5AF5A5B9}"/>
            </a:ext>
          </a:extLst>
        </xdr:cNvPr>
        <xdr:cNvSpPr txBox="1">
          <a:spLocks noChangeArrowheads="1"/>
        </xdr:cNvSpPr>
      </xdr:nvSpPr>
      <xdr:spPr bwMode="auto">
        <a:xfrm>
          <a:off x="3208020" y="17526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88" name="Text Box 249">
          <a:extLst>
            <a:ext uri="{FF2B5EF4-FFF2-40B4-BE49-F238E27FC236}">
              <a16:creationId xmlns:a16="http://schemas.microsoft.com/office/drawing/2014/main" id="{0DB1ADEA-92F6-47D2-8B41-7A4CA2216C96}"/>
            </a:ext>
          </a:extLst>
        </xdr:cNvPr>
        <xdr:cNvSpPr txBox="1">
          <a:spLocks noChangeArrowheads="1"/>
        </xdr:cNvSpPr>
      </xdr:nvSpPr>
      <xdr:spPr bwMode="auto">
        <a:xfrm>
          <a:off x="2766060" y="17526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89" name="Text Box 249">
          <a:extLst>
            <a:ext uri="{FF2B5EF4-FFF2-40B4-BE49-F238E27FC236}">
              <a16:creationId xmlns:a16="http://schemas.microsoft.com/office/drawing/2014/main" id="{19D23C7E-B5DC-4253-BF2F-34CC776865B2}"/>
            </a:ext>
          </a:extLst>
        </xdr:cNvPr>
        <xdr:cNvSpPr txBox="1">
          <a:spLocks noChangeArrowheads="1"/>
        </xdr:cNvSpPr>
      </xdr:nvSpPr>
      <xdr:spPr bwMode="auto">
        <a:xfrm>
          <a:off x="3553460" y="17526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90" name="Text Box 249">
          <a:extLst>
            <a:ext uri="{FF2B5EF4-FFF2-40B4-BE49-F238E27FC236}">
              <a16:creationId xmlns:a16="http://schemas.microsoft.com/office/drawing/2014/main" id="{4A3946DD-733C-4DF8-8607-7BF3BF4490AD}"/>
            </a:ext>
          </a:extLst>
        </xdr:cNvPr>
        <xdr:cNvSpPr txBox="1">
          <a:spLocks noChangeArrowheads="1"/>
        </xdr:cNvSpPr>
      </xdr:nvSpPr>
      <xdr:spPr bwMode="auto">
        <a:xfrm>
          <a:off x="3553460" y="17526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91" name="Text Box 249">
          <a:extLst>
            <a:ext uri="{FF2B5EF4-FFF2-40B4-BE49-F238E27FC236}">
              <a16:creationId xmlns:a16="http://schemas.microsoft.com/office/drawing/2014/main" id="{FDE2955C-3213-4E7A-8C50-986F0E04A9FF}"/>
            </a:ext>
          </a:extLst>
        </xdr:cNvPr>
        <xdr:cNvSpPr txBox="1">
          <a:spLocks noChangeArrowheads="1"/>
        </xdr:cNvSpPr>
      </xdr:nvSpPr>
      <xdr:spPr bwMode="auto">
        <a:xfrm>
          <a:off x="2766060" y="17526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92" name="Text Box 249">
          <a:extLst>
            <a:ext uri="{FF2B5EF4-FFF2-40B4-BE49-F238E27FC236}">
              <a16:creationId xmlns:a16="http://schemas.microsoft.com/office/drawing/2014/main" id="{8BB7C0E4-9C8B-46AC-8806-FFDDB5F73185}"/>
            </a:ext>
          </a:extLst>
        </xdr:cNvPr>
        <xdr:cNvSpPr txBox="1">
          <a:spLocks noChangeArrowheads="1"/>
        </xdr:cNvSpPr>
      </xdr:nvSpPr>
      <xdr:spPr bwMode="auto">
        <a:xfrm>
          <a:off x="3553460" y="17526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93" name="Text Box 249">
          <a:extLst>
            <a:ext uri="{FF2B5EF4-FFF2-40B4-BE49-F238E27FC236}">
              <a16:creationId xmlns:a16="http://schemas.microsoft.com/office/drawing/2014/main" id="{BD95FC10-5830-4331-BDCE-BA1FEF45B981}"/>
            </a:ext>
          </a:extLst>
        </xdr:cNvPr>
        <xdr:cNvSpPr txBox="1">
          <a:spLocks noChangeArrowheads="1"/>
        </xdr:cNvSpPr>
      </xdr:nvSpPr>
      <xdr:spPr bwMode="auto">
        <a:xfrm>
          <a:off x="3553460" y="17526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94" name="Text Box 249">
          <a:extLst>
            <a:ext uri="{FF2B5EF4-FFF2-40B4-BE49-F238E27FC236}">
              <a16:creationId xmlns:a16="http://schemas.microsoft.com/office/drawing/2014/main" id="{5B8E0AB1-6BE0-4126-A6E2-734F5AA5AEAF}"/>
            </a:ext>
          </a:extLst>
        </xdr:cNvPr>
        <xdr:cNvSpPr txBox="1">
          <a:spLocks noChangeArrowheads="1"/>
        </xdr:cNvSpPr>
      </xdr:nvSpPr>
      <xdr:spPr bwMode="auto">
        <a:xfrm>
          <a:off x="2766060" y="17526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138</xdr:row>
      <xdr:rowOff>0</xdr:rowOff>
    </xdr:from>
    <xdr:ext cx="104775" cy="208801"/>
    <xdr:sp macro="" textlink="">
      <xdr:nvSpPr>
        <xdr:cNvPr id="95" name="Text Box 249">
          <a:extLst>
            <a:ext uri="{FF2B5EF4-FFF2-40B4-BE49-F238E27FC236}">
              <a16:creationId xmlns:a16="http://schemas.microsoft.com/office/drawing/2014/main" id="{28095F62-C8C1-4B16-A096-EE0DA26D1E9B}"/>
            </a:ext>
          </a:extLst>
        </xdr:cNvPr>
        <xdr:cNvSpPr txBox="1">
          <a:spLocks noChangeArrowheads="1"/>
        </xdr:cNvSpPr>
      </xdr:nvSpPr>
      <xdr:spPr bwMode="auto">
        <a:xfrm>
          <a:off x="3208020" y="17526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96" name="Text Box 249">
          <a:extLst>
            <a:ext uri="{FF2B5EF4-FFF2-40B4-BE49-F238E27FC236}">
              <a16:creationId xmlns:a16="http://schemas.microsoft.com/office/drawing/2014/main" id="{6446B868-37E1-428A-9726-509AAB75C740}"/>
            </a:ext>
          </a:extLst>
        </xdr:cNvPr>
        <xdr:cNvSpPr txBox="1">
          <a:spLocks noChangeArrowheads="1"/>
        </xdr:cNvSpPr>
      </xdr:nvSpPr>
      <xdr:spPr bwMode="auto">
        <a:xfrm>
          <a:off x="2766060" y="17526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97" name="Text Box 249">
          <a:extLst>
            <a:ext uri="{FF2B5EF4-FFF2-40B4-BE49-F238E27FC236}">
              <a16:creationId xmlns:a16="http://schemas.microsoft.com/office/drawing/2014/main" id="{7EF0DDFD-0800-4B2F-B6AC-AA85BE865D8D}"/>
            </a:ext>
          </a:extLst>
        </xdr:cNvPr>
        <xdr:cNvSpPr txBox="1">
          <a:spLocks noChangeArrowheads="1"/>
        </xdr:cNvSpPr>
      </xdr:nvSpPr>
      <xdr:spPr bwMode="auto">
        <a:xfrm>
          <a:off x="3553460" y="17526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98" name="Text Box 249">
          <a:extLst>
            <a:ext uri="{FF2B5EF4-FFF2-40B4-BE49-F238E27FC236}">
              <a16:creationId xmlns:a16="http://schemas.microsoft.com/office/drawing/2014/main" id="{880F8412-8844-4750-9E4D-048A75224BB3}"/>
            </a:ext>
          </a:extLst>
        </xdr:cNvPr>
        <xdr:cNvSpPr txBox="1">
          <a:spLocks noChangeArrowheads="1"/>
        </xdr:cNvSpPr>
      </xdr:nvSpPr>
      <xdr:spPr bwMode="auto">
        <a:xfrm>
          <a:off x="3553460" y="17526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99" name="Text Box 249">
          <a:extLst>
            <a:ext uri="{FF2B5EF4-FFF2-40B4-BE49-F238E27FC236}">
              <a16:creationId xmlns:a16="http://schemas.microsoft.com/office/drawing/2014/main" id="{95C9C9E8-E7AA-4FE8-AB93-EFC5A91C86A0}"/>
            </a:ext>
          </a:extLst>
        </xdr:cNvPr>
        <xdr:cNvSpPr txBox="1">
          <a:spLocks noChangeArrowheads="1"/>
        </xdr:cNvSpPr>
      </xdr:nvSpPr>
      <xdr:spPr bwMode="auto">
        <a:xfrm>
          <a:off x="2766060" y="17526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100" name="Text Box 249">
          <a:extLst>
            <a:ext uri="{FF2B5EF4-FFF2-40B4-BE49-F238E27FC236}">
              <a16:creationId xmlns:a16="http://schemas.microsoft.com/office/drawing/2014/main" id="{B07B9515-4BDB-4C38-BFC6-B62FC1932499}"/>
            </a:ext>
          </a:extLst>
        </xdr:cNvPr>
        <xdr:cNvSpPr txBox="1">
          <a:spLocks noChangeArrowheads="1"/>
        </xdr:cNvSpPr>
      </xdr:nvSpPr>
      <xdr:spPr bwMode="auto">
        <a:xfrm>
          <a:off x="3553460" y="17526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101" name="Text Box 249">
          <a:extLst>
            <a:ext uri="{FF2B5EF4-FFF2-40B4-BE49-F238E27FC236}">
              <a16:creationId xmlns:a16="http://schemas.microsoft.com/office/drawing/2014/main" id="{BDD5B9AA-DEFD-4AEB-B6E2-F586C38D1370}"/>
            </a:ext>
          </a:extLst>
        </xdr:cNvPr>
        <xdr:cNvSpPr txBox="1">
          <a:spLocks noChangeArrowheads="1"/>
        </xdr:cNvSpPr>
      </xdr:nvSpPr>
      <xdr:spPr bwMode="auto">
        <a:xfrm>
          <a:off x="3553460" y="17526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02" name="Text Box 249">
          <a:extLst>
            <a:ext uri="{FF2B5EF4-FFF2-40B4-BE49-F238E27FC236}">
              <a16:creationId xmlns:a16="http://schemas.microsoft.com/office/drawing/2014/main" id="{65C41650-C014-4F73-B5A5-5BE5E9E0ACBC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03" name="Text Box 249">
          <a:extLst>
            <a:ext uri="{FF2B5EF4-FFF2-40B4-BE49-F238E27FC236}">
              <a16:creationId xmlns:a16="http://schemas.microsoft.com/office/drawing/2014/main" id="{C5F55B00-6B3A-45D0-9DA5-27B0D3EA50AA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104" name="Text Box 249">
          <a:extLst>
            <a:ext uri="{FF2B5EF4-FFF2-40B4-BE49-F238E27FC236}">
              <a16:creationId xmlns:a16="http://schemas.microsoft.com/office/drawing/2014/main" id="{50283639-59DF-4F48-8152-BFFC4369E3CD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105" name="Text Box 249">
          <a:extLst>
            <a:ext uri="{FF2B5EF4-FFF2-40B4-BE49-F238E27FC236}">
              <a16:creationId xmlns:a16="http://schemas.microsoft.com/office/drawing/2014/main" id="{A6B95C01-F155-4095-8419-5DB1D0711BB7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06" name="Text Box 249">
          <a:extLst>
            <a:ext uri="{FF2B5EF4-FFF2-40B4-BE49-F238E27FC236}">
              <a16:creationId xmlns:a16="http://schemas.microsoft.com/office/drawing/2014/main" id="{705CB6B6-2DE6-4E1E-830B-04165E317E46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107" name="Text Box 249">
          <a:extLst>
            <a:ext uri="{FF2B5EF4-FFF2-40B4-BE49-F238E27FC236}">
              <a16:creationId xmlns:a16="http://schemas.microsoft.com/office/drawing/2014/main" id="{0F5A39C2-7212-4E41-9C43-D8701A1AC845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108" name="Text Box 249">
          <a:extLst>
            <a:ext uri="{FF2B5EF4-FFF2-40B4-BE49-F238E27FC236}">
              <a16:creationId xmlns:a16="http://schemas.microsoft.com/office/drawing/2014/main" id="{7538A09D-3A01-4B35-A99E-871A36F565D4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09" name="Text Box 249">
          <a:extLst>
            <a:ext uri="{FF2B5EF4-FFF2-40B4-BE49-F238E27FC236}">
              <a16:creationId xmlns:a16="http://schemas.microsoft.com/office/drawing/2014/main" id="{DDBE5875-D2FA-4F8B-9B64-F1521C321516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10" name="Text Box 249">
          <a:extLst>
            <a:ext uri="{FF2B5EF4-FFF2-40B4-BE49-F238E27FC236}">
              <a16:creationId xmlns:a16="http://schemas.microsoft.com/office/drawing/2014/main" id="{7ED28769-5F62-4C63-A169-D5CC5D3FDC28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111" name="Text Box 249">
          <a:extLst>
            <a:ext uri="{FF2B5EF4-FFF2-40B4-BE49-F238E27FC236}">
              <a16:creationId xmlns:a16="http://schemas.microsoft.com/office/drawing/2014/main" id="{54994A62-7020-46E0-B72A-C413E0564060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112" name="Text Box 249">
          <a:extLst>
            <a:ext uri="{FF2B5EF4-FFF2-40B4-BE49-F238E27FC236}">
              <a16:creationId xmlns:a16="http://schemas.microsoft.com/office/drawing/2014/main" id="{708D92D2-4B11-4F7B-9563-0F29E67C8E93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13" name="Text Box 249">
          <a:extLst>
            <a:ext uri="{FF2B5EF4-FFF2-40B4-BE49-F238E27FC236}">
              <a16:creationId xmlns:a16="http://schemas.microsoft.com/office/drawing/2014/main" id="{2D6F1604-C948-41A4-95A0-0CA43EA839BE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114" name="Text Box 249">
          <a:extLst>
            <a:ext uri="{FF2B5EF4-FFF2-40B4-BE49-F238E27FC236}">
              <a16:creationId xmlns:a16="http://schemas.microsoft.com/office/drawing/2014/main" id="{4683703F-514C-4CE1-A4F8-6A1720724D04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115" name="Text Box 249">
          <a:extLst>
            <a:ext uri="{FF2B5EF4-FFF2-40B4-BE49-F238E27FC236}">
              <a16:creationId xmlns:a16="http://schemas.microsoft.com/office/drawing/2014/main" id="{EBF98C64-0ED1-436A-8796-C66B0D395190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16" name="Text Box 249">
          <a:extLst>
            <a:ext uri="{FF2B5EF4-FFF2-40B4-BE49-F238E27FC236}">
              <a16:creationId xmlns:a16="http://schemas.microsoft.com/office/drawing/2014/main" id="{226D241E-0947-4C84-8DFC-A2272B7E317A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17" name="Text Box 249">
          <a:extLst>
            <a:ext uri="{FF2B5EF4-FFF2-40B4-BE49-F238E27FC236}">
              <a16:creationId xmlns:a16="http://schemas.microsoft.com/office/drawing/2014/main" id="{E032585E-6FB5-41A1-8D05-356E179E1CBA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118" name="Text Box 249">
          <a:extLst>
            <a:ext uri="{FF2B5EF4-FFF2-40B4-BE49-F238E27FC236}">
              <a16:creationId xmlns:a16="http://schemas.microsoft.com/office/drawing/2014/main" id="{BF90F953-1823-441C-A4F7-F3E726046504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119" name="Text Box 249">
          <a:extLst>
            <a:ext uri="{FF2B5EF4-FFF2-40B4-BE49-F238E27FC236}">
              <a16:creationId xmlns:a16="http://schemas.microsoft.com/office/drawing/2014/main" id="{17425951-A032-486C-BFFA-9FDB57C3B484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20" name="Text Box 249">
          <a:extLst>
            <a:ext uri="{FF2B5EF4-FFF2-40B4-BE49-F238E27FC236}">
              <a16:creationId xmlns:a16="http://schemas.microsoft.com/office/drawing/2014/main" id="{F30D5E68-0B32-4BF5-BB2B-7798D332B54E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121" name="Text Box 249">
          <a:extLst>
            <a:ext uri="{FF2B5EF4-FFF2-40B4-BE49-F238E27FC236}">
              <a16:creationId xmlns:a16="http://schemas.microsoft.com/office/drawing/2014/main" id="{61C1BB02-9F3D-4063-B13B-A080F5AD7913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122" name="Text Box 249">
          <a:extLst>
            <a:ext uri="{FF2B5EF4-FFF2-40B4-BE49-F238E27FC236}">
              <a16:creationId xmlns:a16="http://schemas.microsoft.com/office/drawing/2014/main" id="{C01E5EED-FCD5-4441-B18E-E101DDFBCE8A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23" name="Text Box 249">
          <a:extLst>
            <a:ext uri="{FF2B5EF4-FFF2-40B4-BE49-F238E27FC236}">
              <a16:creationId xmlns:a16="http://schemas.microsoft.com/office/drawing/2014/main" id="{8804CCE8-33B7-4273-B453-32402E3A68A0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24" name="Text Box 249">
          <a:extLst>
            <a:ext uri="{FF2B5EF4-FFF2-40B4-BE49-F238E27FC236}">
              <a16:creationId xmlns:a16="http://schemas.microsoft.com/office/drawing/2014/main" id="{6466CBD6-01C2-4D84-AA32-A3B71DC4A5A4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125" name="Text Box 249">
          <a:extLst>
            <a:ext uri="{FF2B5EF4-FFF2-40B4-BE49-F238E27FC236}">
              <a16:creationId xmlns:a16="http://schemas.microsoft.com/office/drawing/2014/main" id="{79017630-D629-49E0-8DB3-E3364C799CF9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126" name="Text Box 249">
          <a:extLst>
            <a:ext uri="{FF2B5EF4-FFF2-40B4-BE49-F238E27FC236}">
              <a16:creationId xmlns:a16="http://schemas.microsoft.com/office/drawing/2014/main" id="{FC026BD0-8399-4CD0-85C1-7C8FD4A32DF3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27" name="Text Box 249">
          <a:extLst>
            <a:ext uri="{FF2B5EF4-FFF2-40B4-BE49-F238E27FC236}">
              <a16:creationId xmlns:a16="http://schemas.microsoft.com/office/drawing/2014/main" id="{2C5CB758-66EA-47B4-A339-1BF11879EDFC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128" name="Text Box 249">
          <a:extLst>
            <a:ext uri="{FF2B5EF4-FFF2-40B4-BE49-F238E27FC236}">
              <a16:creationId xmlns:a16="http://schemas.microsoft.com/office/drawing/2014/main" id="{E77A8C69-A53A-43F1-A54C-E33B86400F07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129" name="Text Box 249">
          <a:extLst>
            <a:ext uri="{FF2B5EF4-FFF2-40B4-BE49-F238E27FC236}">
              <a16:creationId xmlns:a16="http://schemas.microsoft.com/office/drawing/2014/main" id="{712181E5-E77B-49B0-A25F-1D5E3CE85EF2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30" name="Text Box 249">
          <a:extLst>
            <a:ext uri="{FF2B5EF4-FFF2-40B4-BE49-F238E27FC236}">
              <a16:creationId xmlns:a16="http://schemas.microsoft.com/office/drawing/2014/main" id="{5E2DB4F7-4B30-4139-8083-8A0EFEC70ED1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138</xdr:row>
      <xdr:rowOff>0</xdr:rowOff>
    </xdr:from>
    <xdr:ext cx="104775" cy="208801"/>
    <xdr:sp macro="" textlink="">
      <xdr:nvSpPr>
        <xdr:cNvPr id="131" name="Text Box 249">
          <a:extLst>
            <a:ext uri="{FF2B5EF4-FFF2-40B4-BE49-F238E27FC236}">
              <a16:creationId xmlns:a16="http://schemas.microsoft.com/office/drawing/2014/main" id="{A5153495-DB17-4887-9993-941F56FE699F}"/>
            </a:ext>
          </a:extLst>
        </xdr:cNvPr>
        <xdr:cNvSpPr txBox="1">
          <a:spLocks noChangeArrowheads="1"/>
        </xdr:cNvSpPr>
      </xdr:nvSpPr>
      <xdr:spPr bwMode="auto">
        <a:xfrm>
          <a:off x="320802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32" name="Text Box 249">
          <a:extLst>
            <a:ext uri="{FF2B5EF4-FFF2-40B4-BE49-F238E27FC236}">
              <a16:creationId xmlns:a16="http://schemas.microsoft.com/office/drawing/2014/main" id="{1D6027CB-3C19-4243-887B-771196ACFF9C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133" name="Text Box 249">
          <a:extLst>
            <a:ext uri="{FF2B5EF4-FFF2-40B4-BE49-F238E27FC236}">
              <a16:creationId xmlns:a16="http://schemas.microsoft.com/office/drawing/2014/main" id="{0E907FC8-01B7-4A2B-B6B0-C782A738D14C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134" name="Text Box 249">
          <a:extLst>
            <a:ext uri="{FF2B5EF4-FFF2-40B4-BE49-F238E27FC236}">
              <a16:creationId xmlns:a16="http://schemas.microsoft.com/office/drawing/2014/main" id="{627F4DE1-14D7-42F2-B2E2-2242B7E8F45C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35" name="Text Box 249">
          <a:extLst>
            <a:ext uri="{FF2B5EF4-FFF2-40B4-BE49-F238E27FC236}">
              <a16:creationId xmlns:a16="http://schemas.microsoft.com/office/drawing/2014/main" id="{314F86FA-D525-4C9A-9AC4-F1D02713A5C1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136" name="Text Box 249">
          <a:extLst>
            <a:ext uri="{FF2B5EF4-FFF2-40B4-BE49-F238E27FC236}">
              <a16:creationId xmlns:a16="http://schemas.microsoft.com/office/drawing/2014/main" id="{48B9BA53-8576-44BD-BDFF-BEB188B86A35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137" name="Text Box 249">
          <a:extLst>
            <a:ext uri="{FF2B5EF4-FFF2-40B4-BE49-F238E27FC236}">
              <a16:creationId xmlns:a16="http://schemas.microsoft.com/office/drawing/2014/main" id="{217259A2-92CB-4144-90A5-217C0B1D72A9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38" name="Text Box 249">
          <a:extLst>
            <a:ext uri="{FF2B5EF4-FFF2-40B4-BE49-F238E27FC236}">
              <a16:creationId xmlns:a16="http://schemas.microsoft.com/office/drawing/2014/main" id="{A33F163E-4D4B-4673-8B56-678EC6A60024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138</xdr:row>
      <xdr:rowOff>0</xdr:rowOff>
    </xdr:from>
    <xdr:ext cx="104775" cy="208801"/>
    <xdr:sp macro="" textlink="">
      <xdr:nvSpPr>
        <xdr:cNvPr id="139" name="Text Box 249">
          <a:extLst>
            <a:ext uri="{FF2B5EF4-FFF2-40B4-BE49-F238E27FC236}">
              <a16:creationId xmlns:a16="http://schemas.microsoft.com/office/drawing/2014/main" id="{022BCDC5-A00B-41A0-B394-F7F67D1A8B47}"/>
            </a:ext>
          </a:extLst>
        </xdr:cNvPr>
        <xdr:cNvSpPr txBox="1">
          <a:spLocks noChangeArrowheads="1"/>
        </xdr:cNvSpPr>
      </xdr:nvSpPr>
      <xdr:spPr bwMode="auto">
        <a:xfrm>
          <a:off x="320802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40" name="Text Box 249">
          <a:extLst>
            <a:ext uri="{FF2B5EF4-FFF2-40B4-BE49-F238E27FC236}">
              <a16:creationId xmlns:a16="http://schemas.microsoft.com/office/drawing/2014/main" id="{9804F9B5-9424-4ED2-A939-9BEC656E87F5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08801"/>
    <xdr:sp macro="" textlink="">
      <xdr:nvSpPr>
        <xdr:cNvPr id="141" name="Text Box 249">
          <a:extLst>
            <a:ext uri="{FF2B5EF4-FFF2-40B4-BE49-F238E27FC236}">
              <a16:creationId xmlns:a16="http://schemas.microsoft.com/office/drawing/2014/main" id="{6495C267-436F-44A8-A4D1-2C52A83979E1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3036"/>
    <xdr:sp macro="" textlink="">
      <xdr:nvSpPr>
        <xdr:cNvPr id="142" name="Text Box 249">
          <a:extLst>
            <a:ext uri="{FF2B5EF4-FFF2-40B4-BE49-F238E27FC236}">
              <a16:creationId xmlns:a16="http://schemas.microsoft.com/office/drawing/2014/main" id="{B2D761D7-5A40-4B7E-8C76-DBC9ECACB5AF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138</xdr:row>
      <xdr:rowOff>0</xdr:rowOff>
    </xdr:from>
    <xdr:ext cx="104775" cy="208801"/>
    <xdr:sp macro="" textlink="">
      <xdr:nvSpPr>
        <xdr:cNvPr id="143" name="Text Box 249">
          <a:extLst>
            <a:ext uri="{FF2B5EF4-FFF2-40B4-BE49-F238E27FC236}">
              <a16:creationId xmlns:a16="http://schemas.microsoft.com/office/drawing/2014/main" id="{8E91901E-2CF2-48AA-86C4-FC71997649A6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04775" cy="210011"/>
    <xdr:sp macro="" textlink="">
      <xdr:nvSpPr>
        <xdr:cNvPr id="144" name="Text Box 249">
          <a:extLst>
            <a:ext uri="{FF2B5EF4-FFF2-40B4-BE49-F238E27FC236}">
              <a16:creationId xmlns:a16="http://schemas.microsoft.com/office/drawing/2014/main" id="{12BBCF7E-223D-407C-A4CC-9455D05D9FB7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138</xdr:row>
      <xdr:rowOff>0</xdr:rowOff>
    </xdr:from>
    <xdr:ext cx="120015" cy="226369"/>
    <xdr:sp macro="" textlink="">
      <xdr:nvSpPr>
        <xdr:cNvPr id="145" name="Text Box 249">
          <a:extLst>
            <a:ext uri="{FF2B5EF4-FFF2-40B4-BE49-F238E27FC236}">
              <a16:creationId xmlns:a16="http://schemas.microsoft.com/office/drawing/2014/main" id="{5543ABA4-DC46-49BF-81AF-BFA61AE8EA2D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46" name="Text Box 249">
          <a:extLst>
            <a:ext uri="{FF2B5EF4-FFF2-40B4-BE49-F238E27FC236}">
              <a16:creationId xmlns:a16="http://schemas.microsoft.com/office/drawing/2014/main" id="{ED054537-2670-4723-96FA-A963109FCFEA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47" name="Text Box 249">
          <a:extLst>
            <a:ext uri="{FF2B5EF4-FFF2-40B4-BE49-F238E27FC236}">
              <a16:creationId xmlns:a16="http://schemas.microsoft.com/office/drawing/2014/main" id="{0A675CA7-C65D-473D-9E3F-52DA7A11FF39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148" name="Text Box 249">
          <a:extLst>
            <a:ext uri="{FF2B5EF4-FFF2-40B4-BE49-F238E27FC236}">
              <a16:creationId xmlns:a16="http://schemas.microsoft.com/office/drawing/2014/main" id="{313543A6-2988-4D75-AAA9-A0D897EDFAA5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149" name="Text Box 249">
          <a:extLst>
            <a:ext uri="{FF2B5EF4-FFF2-40B4-BE49-F238E27FC236}">
              <a16:creationId xmlns:a16="http://schemas.microsoft.com/office/drawing/2014/main" id="{305D9DB0-AEFC-4A40-A1BB-E6D844993EBE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50" name="Text Box 249">
          <a:extLst>
            <a:ext uri="{FF2B5EF4-FFF2-40B4-BE49-F238E27FC236}">
              <a16:creationId xmlns:a16="http://schemas.microsoft.com/office/drawing/2014/main" id="{2C6FFC7C-8FAE-4B4E-AC23-7472B2F90C3A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151" name="Text Box 249">
          <a:extLst>
            <a:ext uri="{FF2B5EF4-FFF2-40B4-BE49-F238E27FC236}">
              <a16:creationId xmlns:a16="http://schemas.microsoft.com/office/drawing/2014/main" id="{117DD8F9-D4EF-4A3E-B93D-4E78E75530DB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152" name="Text Box 249">
          <a:extLst>
            <a:ext uri="{FF2B5EF4-FFF2-40B4-BE49-F238E27FC236}">
              <a16:creationId xmlns:a16="http://schemas.microsoft.com/office/drawing/2014/main" id="{75FB748A-2B77-4A7B-9204-2685CF1F0CB8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53" name="Text Box 249">
          <a:extLst>
            <a:ext uri="{FF2B5EF4-FFF2-40B4-BE49-F238E27FC236}">
              <a16:creationId xmlns:a16="http://schemas.microsoft.com/office/drawing/2014/main" id="{2B27D72B-8B5E-4789-96C1-6886502DDC3A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54" name="Text Box 249">
          <a:extLst>
            <a:ext uri="{FF2B5EF4-FFF2-40B4-BE49-F238E27FC236}">
              <a16:creationId xmlns:a16="http://schemas.microsoft.com/office/drawing/2014/main" id="{DD9609CA-8DF5-47B3-90AD-FE80124A26F9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155" name="Text Box 249">
          <a:extLst>
            <a:ext uri="{FF2B5EF4-FFF2-40B4-BE49-F238E27FC236}">
              <a16:creationId xmlns:a16="http://schemas.microsoft.com/office/drawing/2014/main" id="{C97E520D-1812-42F6-93D3-B9F322F7134C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156" name="Text Box 249">
          <a:extLst>
            <a:ext uri="{FF2B5EF4-FFF2-40B4-BE49-F238E27FC236}">
              <a16:creationId xmlns:a16="http://schemas.microsoft.com/office/drawing/2014/main" id="{A86CF7A6-FE47-45CF-A560-40B957710574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57" name="Text Box 249">
          <a:extLst>
            <a:ext uri="{FF2B5EF4-FFF2-40B4-BE49-F238E27FC236}">
              <a16:creationId xmlns:a16="http://schemas.microsoft.com/office/drawing/2014/main" id="{72AB85DA-9BA4-444A-AF97-F929FDFF4CAA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158" name="Text Box 249">
          <a:extLst>
            <a:ext uri="{FF2B5EF4-FFF2-40B4-BE49-F238E27FC236}">
              <a16:creationId xmlns:a16="http://schemas.microsoft.com/office/drawing/2014/main" id="{D48CC46B-F5EC-491B-917A-AF094D022965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159" name="Text Box 249">
          <a:extLst>
            <a:ext uri="{FF2B5EF4-FFF2-40B4-BE49-F238E27FC236}">
              <a16:creationId xmlns:a16="http://schemas.microsoft.com/office/drawing/2014/main" id="{8A181346-E15D-4E20-8200-B83C7D10817E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60" name="Text Box 249">
          <a:extLst>
            <a:ext uri="{FF2B5EF4-FFF2-40B4-BE49-F238E27FC236}">
              <a16:creationId xmlns:a16="http://schemas.microsoft.com/office/drawing/2014/main" id="{D72FEDF7-C979-4DEE-9D52-F3C79CA269E2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61" name="Text Box 249">
          <a:extLst>
            <a:ext uri="{FF2B5EF4-FFF2-40B4-BE49-F238E27FC236}">
              <a16:creationId xmlns:a16="http://schemas.microsoft.com/office/drawing/2014/main" id="{C7BB4C3E-E7CE-446D-A857-BE5D3417386F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162" name="Text Box 249">
          <a:extLst>
            <a:ext uri="{FF2B5EF4-FFF2-40B4-BE49-F238E27FC236}">
              <a16:creationId xmlns:a16="http://schemas.microsoft.com/office/drawing/2014/main" id="{69B2AB68-0846-4DF0-8586-BF39A5344F8C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163" name="Text Box 249">
          <a:extLst>
            <a:ext uri="{FF2B5EF4-FFF2-40B4-BE49-F238E27FC236}">
              <a16:creationId xmlns:a16="http://schemas.microsoft.com/office/drawing/2014/main" id="{EA7508B0-13AE-475F-8711-3C051849D3BB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64" name="Text Box 249">
          <a:extLst>
            <a:ext uri="{FF2B5EF4-FFF2-40B4-BE49-F238E27FC236}">
              <a16:creationId xmlns:a16="http://schemas.microsoft.com/office/drawing/2014/main" id="{39BDDC95-52F6-4D21-89A0-8FC1D4D6A530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165" name="Text Box 249">
          <a:extLst>
            <a:ext uri="{FF2B5EF4-FFF2-40B4-BE49-F238E27FC236}">
              <a16:creationId xmlns:a16="http://schemas.microsoft.com/office/drawing/2014/main" id="{C06353C6-3BC5-42CA-A93E-199F19C0FE85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166" name="Text Box 249">
          <a:extLst>
            <a:ext uri="{FF2B5EF4-FFF2-40B4-BE49-F238E27FC236}">
              <a16:creationId xmlns:a16="http://schemas.microsoft.com/office/drawing/2014/main" id="{5E5BE56E-C51E-45E0-B66F-E218F185280B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67" name="Text Box 249">
          <a:extLst>
            <a:ext uri="{FF2B5EF4-FFF2-40B4-BE49-F238E27FC236}">
              <a16:creationId xmlns:a16="http://schemas.microsoft.com/office/drawing/2014/main" id="{68B1D0FF-8701-41F5-AD15-E5627F53B8F3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68" name="Text Box 249">
          <a:extLst>
            <a:ext uri="{FF2B5EF4-FFF2-40B4-BE49-F238E27FC236}">
              <a16:creationId xmlns:a16="http://schemas.microsoft.com/office/drawing/2014/main" id="{376A6E5A-0371-4FEE-B75D-228BFCBC47AD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169" name="Text Box 249">
          <a:extLst>
            <a:ext uri="{FF2B5EF4-FFF2-40B4-BE49-F238E27FC236}">
              <a16:creationId xmlns:a16="http://schemas.microsoft.com/office/drawing/2014/main" id="{0BF1015E-8EE7-4A11-A0AE-BC5520BEF314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170" name="Text Box 249">
          <a:extLst>
            <a:ext uri="{FF2B5EF4-FFF2-40B4-BE49-F238E27FC236}">
              <a16:creationId xmlns:a16="http://schemas.microsoft.com/office/drawing/2014/main" id="{B669E902-C010-4DE2-9C50-BE5A5637B024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71" name="Text Box 249">
          <a:extLst>
            <a:ext uri="{FF2B5EF4-FFF2-40B4-BE49-F238E27FC236}">
              <a16:creationId xmlns:a16="http://schemas.microsoft.com/office/drawing/2014/main" id="{5EADC0A4-7946-49E0-BD6D-3D7790C3B3C9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172" name="Text Box 249">
          <a:extLst>
            <a:ext uri="{FF2B5EF4-FFF2-40B4-BE49-F238E27FC236}">
              <a16:creationId xmlns:a16="http://schemas.microsoft.com/office/drawing/2014/main" id="{8075A0D2-71B0-499E-98EB-6119794077AB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173" name="Text Box 249">
          <a:extLst>
            <a:ext uri="{FF2B5EF4-FFF2-40B4-BE49-F238E27FC236}">
              <a16:creationId xmlns:a16="http://schemas.microsoft.com/office/drawing/2014/main" id="{25531034-DF32-4A51-AB50-A6F70E3AA890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74" name="Text Box 249">
          <a:extLst>
            <a:ext uri="{FF2B5EF4-FFF2-40B4-BE49-F238E27FC236}">
              <a16:creationId xmlns:a16="http://schemas.microsoft.com/office/drawing/2014/main" id="{A7B0BBF9-A61B-47F0-B751-40BC8F1AE557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139</xdr:row>
      <xdr:rowOff>0</xdr:rowOff>
    </xdr:from>
    <xdr:ext cx="104775" cy="208801"/>
    <xdr:sp macro="" textlink="">
      <xdr:nvSpPr>
        <xdr:cNvPr id="175" name="Text Box 249">
          <a:extLst>
            <a:ext uri="{FF2B5EF4-FFF2-40B4-BE49-F238E27FC236}">
              <a16:creationId xmlns:a16="http://schemas.microsoft.com/office/drawing/2014/main" id="{8D46AC0C-B678-43A7-B45D-83D8573BD11D}"/>
            </a:ext>
          </a:extLst>
        </xdr:cNvPr>
        <xdr:cNvSpPr txBox="1">
          <a:spLocks noChangeArrowheads="1"/>
        </xdr:cNvSpPr>
      </xdr:nvSpPr>
      <xdr:spPr bwMode="auto">
        <a:xfrm>
          <a:off x="320802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76" name="Text Box 249">
          <a:extLst>
            <a:ext uri="{FF2B5EF4-FFF2-40B4-BE49-F238E27FC236}">
              <a16:creationId xmlns:a16="http://schemas.microsoft.com/office/drawing/2014/main" id="{5EC33DFC-4B35-48F8-9911-0E900AA78C59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177" name="Text Box 249">
          <a:extLst>
            <a:ext uri="{FF2B5EF4-FFF2-40B4-BE49-F238E27FC236}">
              <a16:creationId xmlns:a16="http://schemas.microsoft.com/office/drawing/2014/main" id="{263AA12B-1B71-46B1-9538-962FE6A9DF4D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178" name="Text Box 249">
          <a:extLst>
            <a:ext uri="{FF2B5EF4-FFF2-40B4-BE49-F238E27FC236}">
              <a16:creationId xmlns:a16="http://schemas.microsoft.com/office/drawing/2014/main" id="{89F78F71-32F7-43FD-B9DC-FC82A0D7305D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79" name="Text Box 249">
          <a:extLst>
            <a:ext uri="{FF2B5EF4-FFF2-40B4-BE49-F238E27FC236}">
              <a16:creationId xmlns:a16="http://schemas.microsoft.com/office/drawing/2014/main" id="{C5EC4646-587C-4608-B68C-CB483539AE76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180" name="Text Box 249">
          <a:extLst>
            <a:ext uri="{FF2B5EF4-FFF2-40B4-BE49-F238E27FC236}">
              <a16:creationId xmlns:a16="http://schemas.microsoft.com/office/drawing/2014/main" id="{7955946D-5D97-4374-B7C3-ECF00F25DEEC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181" name="Text Box 249">
          <a:extLst>
            <a:ext uri="{FF2B5EF4-FFF2-40B4-BE49-F238E27FC236}">
              <a16:creationId xmlns:a16="http://schemas.microsoft.com/office/drawing/2014/main" id="{123022FB-2B2A-435B-82C4-45B3037BD968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82" name="Text Box 249">
          <a:extLst>
            <a:ext uri="{FF2B5EF4-FFF2-40B4-BE49-F238E27FC236}">
              <a16:creationId xmlns:a16="http://schemas.microsoft.com/office/drawing/2014/main" id="{B0523B9B-3F99-484E-81D5-CD9EFE8A2680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139</xdr:row>
      <xdr:rowOff>0</xdr:rowOff>
    </xdr:from>
    <xdr:ext cx="104775" cy="208801"/>
    <xdr:sp macro="" textlink="">
      <xdr:nvSpPr>
        <xdr:cNvPr id="183" name="Text Box 249">
          <a:extLst>
            <a:ext uri="{FF2B5EF4-FFF2-40B4-BE49-F238E27FC236}">
              <a16:creationId xmlns:a16="http://schemas.microsoft.com/office/drawing/2014/main" id="{585EF5EA-FCC6-469F-870B-08D091D0A9C7}"/>
            </a:ext>
          </a:extLst>
        </xdr:cNvPr>
        <xdr:cNvSpPr txBox="1">
          <a:spLocks noChangeArrowheads="1"/>
        </xdr:cNvSpPr>
      </xdr:nvSpPr>
      <xdr:spPr bwMode="auto">
        <a:xfrm>
          <a:off x="320802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84" name="Text Box 249">
          <a:extLst>
            <a:ext uri="{FF2B5EF4-FFF2-40B4-BE49-F238E27FC236}">
              <a16:creationId xmlns:a16="http://schemas.microsoft.com/office/drawing/2014/main" id="{B4DACD48-26D6-4D63-AA22-46588D8A5F38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185" name="Text Box 249">
          <a:extLst>
            <a:ext uri="{FF2B5EF4-FFF2-40B4-BE49-F238E27FC236}">
              <a16:creationId xmlns:a16="http://schemas.microsoft.com/office/drawing/2014/main" id="{916FFFFA-C766-48C7-85A1-2B89FED1D258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186" name="Text Box 249">
          <a:extLst>
            <a:ext uri="{FF2B5EF4-FFF2-40B4-BE49-F238E27FC236}">
              <a16:creationId xmlns:a16="http://schemas.microsoft.com/office/drawing/2014/main" id="{0503F39F-5183-4327-8606-80096CE7D3C9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87" name="Text Box 249">
          <a:extLst>
            <a:ext uri="{FF2B5EF4-FFF2-40B4-BE49-F238E27FC236}">
              <a16:creationId xmlns:a16="http://schemas.microsoft.com/office/drawing/2014/main" id="{93995ACF-AF05-448A-82E4-7CF5709D06EC}"/>
            </a:ext>
          </a:extLst>
        </xdr:cNvPr>
        <xdr:cNvSpPr txBox="1">
          <a:spLocks noChangeArrowheads="1"/>
        </xdr:cNvSpPr>
      </xdr:nvSpPr>
      <xdr:spPr bwMode="auto">
        <a:xfrm>
          <a:off x="2766060" y="17716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188" name="Text Box 249">
          <a:extLst>
            <a:ext uri="{FF2B5EF4-FFF2-40B4-BE49-F238E27FC236}">
              <a16:creationId xmlns:a16="http://schemas.microsoft.com/office/drawing/2014/main" id="{DE1940E0-260C-405E-A954-DE02981143AC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189" name="Text Box 249">
          <a:extLst>
            <a:ext uri="{FF2B5EF4-FFF2-40B4-BE49-F238E27FC236}">
              <a16:creationId xmlns:a16="http://schemas.microsoft.com/office/drawing/2014/main" id="{E2546EF5-38FB-45B7-9406-E19B14AB471B}"/>
            </a:ext>
          </a:extLst>
        </xdr:cNvPr>
        <xdr:cNvSpPr txBox="1">
          <a:spLocks noChangeArrowheads="1"/>
        </xdr:cNvSpPr>
      </xdr:nvSpPr>
      <xdr:spPr bwMode="auto">
        <a:xfrm>
          <a:off x="3553460" y="17716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90" name="Text Box 249">
          <a:extLst>
            <a:ext uri="{FF2B5EF4-FFF2-40B4-BE49-F238E27FC236}">
              <a16:creationId xmlns:a16="http://schemas.microsoft.com/office/drawing/2014/main" id="{9CFFF5E2-2580-439D-B387-07AECF5B6C1D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91" name="Text Box 249">
          <a:extLst>
            <a:ext uri="{FF2B5EF4-FFF2-40B4-BE49-F238E27FC236}">
              <a16:creationId xmlns:a16="http://schemas.microsoft.com/office/drawing/2014/main" id="{16C6AE87-5144-4B9A-814F-B488D4178223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192" name="Text Box 249">
          <a:extLst>
            <a:ext uri="{FF2B5EF4-FFF2-40B4-BE49-F238E27FC236}">
              <a16:creationId xmlns:a16="http://schemas.microsoft.com/office/drawing/2014/main" id="{A71669CC-CD97-423E-A1D6-06AB3F37AE8E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193" name="Text Box 249">
          <a:extLst>
            <a:ext uri="{FF2B5EF4-FFF2-40B4-BE49-F238E27FC236}">
              <a16:creationId xmlns:a16="http://schemas.microsoft.com/office/drawing/2014/main" id="{5B50A250-66A8-45BC-86BD-FFEB49952244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94" name="Text Box 249">
          <a:extLst>
            <a:ext uri="{FF2B5EF4-FFF2-40B4-BE49-F238E27FC236}">
              <a16:creationId xmlns:a16="http://schemas.microsoft.com/office/drawing/2014/main" id="{3EC3B635-A967-459C-A1E8-834527DD5552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195" name="Text Box 249">
          <a:extLst>
            <a:ext uri="{FF2B5EF4-FFF2-40B4-BE49-F238E27FC236}">
              <a16:creationId xmlns:a16="http://schemas.microsoft.com/office/drawing/2014/main" id="{BEA8AFD6-7600-4B19-A499-CFB9126D4219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196" name="Text Box 249">
          <a:extLst>
            <a:ext uri="{FF2B5EF4-FFF2-40B4-BE49-F238E27FC236}">
              <a16:creationId xmlns:a16="http://schemas.microsoft.com/office/drawing/2014/main" id="{A08EC926-52BC-4FB5-89D4-241BE327A318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97" name="Text Box 249">
          <a:extLst>
            <a:ext uri="{FF2B5EF4-FFF2-40B4-BE49-F238E27FC236}">
              <a16:creationId xmlns:a16="http://schemas.microsoft.com/office/drawing/2014/main" id="{62FBE183-F277-471F-8E7D-F58C90BF8BC6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198" name="Text Box 249">
          <a:extLst>
            <a:ext uri="{FF2B5EF4-FFF2-40B4-BE49-F238E27FC236}">
              <a16:creationId xmlns:a16="http://schemas.microsoft.com/office/drawing/2014/main" id="{A331453B-F788-4537-8EB2-721C1E236735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199" name="Text Box 249">
          <a:extLst>
            <a:ext uri="{FF2B5EF4-FFF2-40B4-BE49-F238E27FC236}">
              <a16:creationId xmlns:a16="http://schemas.microsoft.com/office/drawing/2014/main" id="{80F5B311-335B-4C3B-9A55-2C07E471AD4E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200" name="Text Box 249">
          <a:extLst>
            <a:ext uri="{FF2B5EF4-FFF2-40B4-BE49-F238E27FC236}">
              <a16:creationId xmlns:a16="http://schemas.microsoft.com/office/drawing/2014/main" id="{5319C864-9A15-4D39-9731-34650C37ECCF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01" name="Text Box 249">
          <a:extLst>
            <a:ext uri="{FF2B5EF4-FFF2-40B4-BE49-F238E27FC236}">
              <a16:creationId xmlns:a16="http://schemas.microsoft.com/office/drawing/2014/main" id="{614B57B1-23F1-484F-82DC-583E1DBF4C2D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202" name="Text Box 249">
          <a:extLst>
            <a:ext uri="{FF2B5EF4-FFF2-40B4-BE49-F238E27FC236}">
              <a16:creationId xmlns:a16="http://schemas.microsoft.com/office/drawing/2014/main" id="{5622128E-8AFB-4F2B-B332-9E509601AD4B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203" name="Text Box 249">
          <a:extLst>
            <a:ext uri="{FF2B5EF4-FFF2-40B4-BE49-F238E27FC236}">
              <a16:creationId xmlns:a16="http://schemas.microsoft.com/office/drawing/2014/main" id="{5155D93C-9BF1-4CF3-84E5-7196A88A18B1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04" name="Text Box 249">
          <a:extLst>
            <a:ext uri="{FF2B5EF4-FFF2-40B4-BE49-F238E27FC236}">
              <a16:creationId xmlns:a16="http://schemas.microsoft.com/office/drawing/2014/main" id="{5613C8AB-C5DF-4A76-B93B-4A186C7DBD15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05" name="Text Box 249">
          <a:extLst>
            <a:ext uri="{FF2B5EF4-FFF2-40B4-BE49-F238E27FC236}">
              <a16:creationId xmlns:a16="http://schemas.microsoft.com/office/drawing/2014/main" id="{F7295957-0E7A-4763-9F5A-C84547C529CA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206" name="Text Box 249">
          <a:extLst>
            <a:ext uri="{FF2B5EF4-FFF2-40B4-BE49-F238E27FC236}">
              <a16:creationId xmlns:a16="http://schemas.microsoft.com/office/drawing/2014/main" id="{03084300-4305-435D-8FF7-428A9899755F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207" name="Text Box 249">
          <a:extLst>
            <a:ext uri="{FF2B5EF4-FFF2-40B4-BE49-F238E27FC236}">
              <a16:creationId xmlns:a16="http://schemas.microsoft.com/office/drawing/2014/main" id="{9D6E8522-A9D6-4321-B592-C63465D7E857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08" name="Text Box 249">
          <a:extLst>
            <a:ext uri="{FF2B5EF4-FFF2-40B4-BE49-F238E27FC236}">
              <a16:creationId xmlns:a16="http://schemas.microsoft.com/office/drawing/2014/main" id="{8BA439D3-7730-4DAD-8454-D5EFC993BFCE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209" name="Text Box 249">
          <a:extLst>
            <a:ext uri="{FF2B5EF4-FFF2-40B4-BE49-F238E27FC236}">
              <a16:creationId xmlns:a16="http://schemas.microsoft.com/office/drawing/2014/main" id="{D27BDA19-A5A8-4233-BB60-CF972F12EB3E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210" name="Text Box 249">
          <a:extLst>
            <a:ext uri="{FF2B5EF4-FFF2-40B4-BE49-F238E27FC236}">
              <a16:creationId xmlns:a16="http://schemas.microsoft.com/office/drawing/2014/main" id="{4EF96D8C-E2D5-470B-9DA9-043A7DAF000E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11" name="Text Box 249">
          <a:extLst>
            <a:ext uri="{FF2B5EF4-FFF2-40B4-BE49-F238E27FC236}">
              <a16:creationId xmlns:a16="http://schemas.microsoft.com/office/drawing/2014/main" id="{1C5B3AC2-1A15-4C99-87EA-15A6245DC88C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12" name="Text Box 249">
          <a:extLst>
            <a:ext uri="{FF2B5EF4-FFF2-40B4-BE49-F238E27FC236}">
              <a16:creationId xmlns:a16="http://schemas.microsoft.com/office/drawing/2014/main" id="{571FD3A1-4EC4-4970-A52F-C58E27A5783A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213" name="Text Box 249">
          <a:extLst>
            <a:ext uri="{FF2B5EF4-FFF2-40B4-BE49-F238E27FC236}">
              <a16:creationId xmlns:a16="http://schemas.microsoft.com/office/drawing/2014/main" id="{15F63422-2A20-401F-94EE-08D551B5E0E6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214" name="Text Box 249">
          <a:extLst>
            <a:ext uri="{FF2B5EF4-FFF2-40B4-BE49-F238E27FC236}">
              <a16:creationId xmlns:a16="http://schemas.microsoft.com/office/drawing/2014/main" id="{48C1ED0F-9CF6-41AE-9A47-44CFAE70FF11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15" name="Text Box 249">
          <a:extLst>
            <a:ext uri="{FF2B5EF4-FFF2-40B4-BE49-F238E27FC236}">
              <a16:creationId xmlns:a16="http://schemas.microsoft.com/office/drawing/2014/main" id="{121FD0EE-9EB1-4F60-ABCE-11EDA77905B1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216" name="Text Box 249">
          <a:extLst>
            <a:ext uri="{FF2B5EF4-FFF2-40B4-BE49-F238E27FC236}">
              <a16:creationId xmlns:a16="http://schemas.microsoft.com/office/drawing/2014/main" id="{DBFF7DFE-B017-4BF5-8031-5B4006D848E6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217" name="Text Box 249">
          <a:extLst>
            <a:ext uri="{FF2B5EF4-FFF2-40B4-BE49-F238E27FC236}">
              <a16:creationId xmlns:a16="http://schemas.microsoft.com/office/drawing/2014/main" id="{E4098E69-DC08-45C2-BEA3-33C8EBC64B41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18" name="Text Box 249">
          <a:extLst>
            <a:ext uri="{FF2B5EF4-FFF2-40B4-BE49-F238E27FC236}">
              <a16:creationId xmlns:a16="http://schemas.microsoft.com/office/drawing/2014/main" id="{4F43F9CC-35F8-486B-B771-4D9B1919FBA0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139</xdr:row>
      <xdr:rowOff>0</xdr:rowOff>
    </xdr:from>
    <xdr:ext cx="104775" cy="208801"/>
    <xdr:sp macro="" textlink="">
      <xdr:nvSpPr>
        <xdr:cNvPr id="219" name="Text Box 249">
          <a:extLst>
            <a:ext uri="{FF2B5EF4-FFF2-40B4-BE49-F238E27FC236}">
              <a16:creationId xmlns:a16="http://schemas.microsoft.com/office/drawing/2014/main" id="{BE4DFBF2-69E0-443B-85CF-0462F3B04B47}"/>
            </a:ext>
          </a:extLst>
        </xdr:cNvPr>
        <xdr:cNvSpPr txBox="1">
          <a:spLocks noChangeArrowheads="1"/>
        </xdr:cNvSpPr>
      </xdr:nvSpPr>
      <xdr:spPr bwMode="auto">
        <a:xfrm>
          <a:off x="320802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20" name="Text Box 249">
          <a:extLst>
            <a:ext uri="{FF2B5EF4-FFF2-40B4-BE49-F238E27FC236}">
              <a16:creationId xmlns:a16="http://schemas.microsoft.com/office/drawing/2014/main" id="{BB56777E-44C9-4C6A-883F-2B61E8E9678A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221" name="Text Box 249">
          <a:extLst>
            <a:ext uri="{FF2B5EF4-FFF2-40B4-BE49-F238E27FC236}">
              <a16:creationId xmlns:a16="http://schemas.microsoft.com/office/drawing/2014/main" id="{510ADE0F-1C11-446D-958C-B114FF7D227D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222" name="Text Box 249">
          <a:extLst>
            <a:ext uri="{FF2B5EF4-FFF2-40B4-BE49-F238E27FC236}">
              <a16:creationId xmlns:a16="http://schemas.microsoft.com/office/drawing/2014/main" id="{A224DD25-4F3F-4A76-9E3A-C533CD753BA1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23" name="Text Box 249">
          <a:extLst>
            <a:ext uri="{FF2B5EF4-FFF2-40B4-BE49-F238E27FC236}">
              <a16:creationId xmlns:a16="http://schemas.microsoft.com/office/drawing/2014/main" id="{0297D7E0-FE7F-4767-947E-16AC5070F930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224" name="Text Box 249">
          <a:extLst>
            <a:ext uri="{FF2B5EF4-FFF2-40B4-BE49-F238E27FC236}">
              <a16:creationId xmlns:a16="http://schemas.microsoft.com/office/drawing/2014/main" id="{BA4258CE-F275-4B30-8F76-DFA773F69635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225" name="Text Box 249">
          <a:extLst>
            <a:ext uri="{FF2B5EF4-FFF2-40B4-BE49-F238E27FC236}">
              <a16:creationId xmlns:a16="http://schemas.microsoft.com/office/drawing/2014/main" id="{335EAE6B-DA90-4568-BC70-E8723612DA41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26" name="Text Box 249">
          <a:extLst>
            <a:ext uri="{FF2B5EF4-FFF2-40B4-BE49-F238E27FC236}">
              <a16:creationId xmlns:a16="http://schemas.microsoft.com/office/drawing/2014/main" id="{C41C715B-EB12-4C1C-A830-0932D3C0E6D0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139</xdr:row>
      <xdr:rowOff>0</xdr:rowOff>
    </xdr:from>
    <xdr:ext cx="104775" cy="208801"/>
    <xdr:sp macro="" textlink="">
      <xdr:nvSpPr>
        <xdr:cNvPr id="227" name="Text Box 249">
          <a:extLst>
            <a:ext uri="{FF2B5EF4-FFF2-40B4-BE49-F238E27FC236}">
              <a16:creationId xmlns:a16="http://schemas.microsoft.com/office/drawing/2014/main" id="{A7BBCCFE-F860-4E05-9AE9-10AD81E3CC90}"/>
            </a:ext>
          </a:extLst>
        </xdr:cNvPr>
        <xdr:cNvSpPr txBox="1">
          <a:spLocks noChangeArrowheads="1"/>
        </xdr:cNvSpPr>
      </xdr:nvSpPr>
      <xdr:spPr bwMode="auto">
        <a:xfrm>
          <a:off x="320802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28" name="Text Box 249">
          <a:extLst>
            <a:ext uri="{FF2B5EF4-FFF2-40B4-BE49-F238E27FC236}">
              <a16:creationId xmlns:a16="http://schemas.microsoft.com/office/drawing/2014/main" id="{3BA6EAD5-33B4-429D-9609-DD4B830D0822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229" name="Text Box 249">
          <a:extLst>
            <a:ext uri="{FF2B5EF4-FFF2-40B4-BE49-F238E27FC236}">
              <a16:creationId xmlns:a16="http://schemas.microsoft.com/office/drawing/2014/main" id="{36A0E5F6-29C5-44AA-80C3-C4ABE2FDD76A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230" name="Text Box 249">
          <a:extLst>
            <a:ext uri="{FF2B5EF4-FFF2-40B4-BE49-F238E27FC236}">
              <a16:creationId xmlns:a16="http://schemas.microsoft.com/office/drawing/2014/main" id="{74931BA7-F59E-4302-B3F4-318A29D8F30E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31" name="Text Box 249">
          <a:extLst>
            <a:ext uri="{FF2B5EF4-FFF2-40B4-BE49-F238E27FC236}">
              <a16:creationId xmlns:a16="http://schemas.microsoft.com/office/drawing/2014/main" id="{02D338AD-3B99-4B95-8D3E-FCBE40018D0D}"/>
            </a:ext>
          </a:extLst>
        </xdr:cNvPr>
        <xdr:cNvSpPr txBox="1">
          <a:spLocks noChangeArrowheads="1"/>
        </xdr:cNvSpPr>
      </xdr:nvSpPr>
      <xdr:spPr bwMode="auto">
        <a:xfrm>
          <a:off x="2766060" y="17907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232" name="Text Box 249">
          <a:extLst>
            <a:ext uri="{FF2B5EF4-FFF2-40B4-BE49-F238E27FC236}">
              <a16:creationId xmlns:a16="http://schemas.microsoft.com/office/drawing/2014/main" id="{4B473867-D011-4EB7-AAED-7C4C3D35B55D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233" name="Text Box 249">
          <a:extLst>
            <a:ext uri="{FF2B5EF4-FFF2-40B4-BE49-F238E27FC236}">
              <a16:creationId xmlns:a16="http://schemas.microsoft.com/office/drawing/2014/main" id="{8585BF33-A4CE-4B42-9C82-17FC52CC84CC}"/>
            </a:ext>
          </a:extLst>
        </xdr:cNvPr>
        <xdr:cNvSpPr txBox="1">
          <a:spLocks noChangeArrowheads="1"/>
        </xdr:cNvSpPr>
      </xdr:nvSpPr>
      <xdr:spPr bwMode="auto">
        <a:xfrm>
          <a:off x="3553460" y="17907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34" name="Text Box 249">
          <a:extLst>
            <a:ext uri="{FF2B5EF4-FFF2-40B4-BE49-F238E27FC236}">
              <a16:creationId xmlns:a16="http://schemas.microsoft.com/office/drawing/2014/main" id="{C9C2E3B7-97F2-4EC7-BFC8-9C46E903503F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35" name="Text Box 249">
          <a:extLst>
            <a:ext uri="{FF2B5EF4-FFF2-40B4-BE49-F238E27FC236}">
              <a16:creationId xmlns:a16="http://schemas.microsoft.com/office/drawing/2014/main" id="{F566BEC8-F885-498A-8040-5A5915ED198C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236" name="Text Box 249">
          <a:extLst>
            <a:ext uri="{FF2B5EF4-FFF2-40B4-BE49-F238E27FC236}">
              <a16:creationId xmlns:a16="http://schemas.microsoft.com/office/drawing/2014/main" id="{45236259-E8BB-45AD-9B1E-1FD768E8EE5D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237" name="Text Box 249">
          <a:extLst>
            <a:ext uri="{FF2B5EF4-FFF2-40B4-BE49-F238E27FC236}">
              <a16:creationId xmlns:a16="http://schemas.microsoft.com/office/drawing/2014/main" id="{8024EEBC-52F2-420E-99ED-8D73BC1DD2E9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38" name="Text Box 249">
          <a:extLst>
            <a:ext uri="{FF2B5EF4-FFF2-40B4-BE49-F238E27FC236}">
              <a16:creationId xmlns:a16="http://schemas.microsoft.com/office/drawing/2014/main" id="{D65CFB58-94E6-43D9-9AD3-B64EC532B5AF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239" name="Text Box 249">
          <a:extLst>
            <a:ext uri="{FF2B5EF4-FFF2-40B4-BE49-F238E27FC236}">
              <a16:creationId xmlns:a16="http://schemas.microsoft.com/office/drawing/2014/main" id="{89014C56-88A7-4A6A-8515-865A50B7F6CD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240" name="Text Box 249">
          <a:extLst>
            <a:ext uri="{FF2B5EF4-FFF2-40B4-BE49-F238E27FC236}">
              <a16:creationId xmlns:a16="http://schemas.microsoft.com/office/drawing/2014/main" id="{4A052E9E-78C8-4207-9DF0-D2E3BE00AF75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41" name="Text Box 249">
          <a:extLst>
            <a:ext uri="{FF2B5EF4-FFF2-40B4-BE49-F238E27FC236}">
              <a16:creationId xmlns:a16="http://schemas.microsoft.com/office/drawing/2014/main" id="{22F7904C-CFFD-4542-BABF-E3F0F42EECD2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42" name="Text Box 249">
          <a:extLst>
            <a:ext uri="{FF2B5EF4-FFF2-40B4-BE49-F238E27FC236}">
              <a16:creationId xmlns:a16="http://schemas.microsoft.com/office/drawing/2014/main" id="{E458BE1F-1321-492B-9724-28FDFD52D548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243" name="Text Box 249">
          <a:extLst>
            <a:ext uri="{FF2B5EF4-FFF2-40B4-BE49-F238E27FC236}">
              <a16:creationId xmlns:a16="http://schemas.microsoft.com/office/drawing/2014/main" id="{DC8E0EFE-F17D-40BE-9481-6E2DFA2BED20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244" name="Text Box 249">
          <a:extLst>
            <a:ext uri="{FF2B5EF4-FFF2-40B4-BE49-F238E27FC236}">
              <a16:creationId xmlns:a16="http://schemas.microsoft.com/office/drawing/2014/main" id="{61822D8F-B9E9-46E4-B144-BEEBEFBB3410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45" name="Text Box 249">
          <a:extLst>
            <a:ext uri="{FF2B5EF4-FFF2-40B4-BE49-F238E27FC236}">
              <a16:creationId xmlns:a16="http://schemas.microsoft.com/office/drawing/2014/main" id="{6694B01D-A186-4757-9AE2-86D4F4D3FC3D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246" name="Text Box 249">
          <a:extLst>
            <a:ext uri="{FF2B5EF4-FFF2-40B4-BE49-F238E27FC236}">
              <a16:creationId xmlns:a16="http://schemas.microsoft.com/office/drawing/2014/main" id="{8F3E7FED-B755-4FA6-8038-309043E76939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247" name="Text Box 249">
          <a:extLst>
            <a:ext uri="{FF2B5EF4-FFF2-40B4-BE49-F238E27FC236}">
              <a16:creationId xmlns:a16="http://schemas.microsoft.com/office/drawing/2014/main" id="{B507F379-3C18-45E8-BF9E-7AAA52CF4EBB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48" name="Text Box 249">
          <a:extLst>
            <a:ext uri="{FF2B5EF4-FFF2-40B4-BE49-F238E27FC236}">
              <a16:creationId xmlns:a16="http://schemas.microsoft.com/office/drawing/2014/main" id="{0D7DD279-BBE4-4224-8CE3-80DFC0C797B7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49" name="Text Box 249">
          <a:extLst>
            <a:ext uri="{FF2B5EF4-FFF2-40B4-BE49-F238E27FC236}">
              <a16:creationId xmlns:a16="http://schemas.microsoft.com/office/drawing/2014/main" id="{D2715533-16EA-4E5B-8208-2A572E53D9C2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250" name="Text Box 249">
          <a:extLst>
            <a:ext uri="{FF2B5EF4-FFF2-40B4-BE49-F238E27FC236}">
              <a16:creationId xmlns:a16="http://schemas.microsoft.com/office/drawing/2014/main" id="{D6628C6B-65E8-4F51-8455-F6166A0317C8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251" name="Text Box 249">
          <a:extLst>
            <a:ext uri="{FF2B5EF4-FFF2-40B4-BE49-F238E27FC236}">
              <a16:creationId xmlns:a16="http://schemas.microsoft.com/office/drawing/2014/main" id="{0359EABF-94B5-478C-A056-49554B6C1B98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52" name="Text Box 249">
          <a:extLst>
            <a:ext uri="{FF2B5EF4-FFF2-40B4-BE49-F238E27FC236}">
              <a16:creationId xmlns:a16="http://schemas.microsoft.com/office/drawing/2014/main" id="{B35C8A30-EF19-44D8-B99C-931FAE3DB59C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253" name="Text Box 249">
          <a:extLst>
            <a:ext uri="{FF2B5EF4-FFF2-40B4-BE49-F238E27FC236}">
              <a16:creationId xmlns:a16="http://schemas.microsoft.com/office/drawing/2014/main" id="{658D10E3-86C7-4A46-9149-0D4EE9E4B2D8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254" name="Text Box 249">
          <a:extLst>
            <a:ext uri="{FF2B5EF4-FFF2-40B4-BE49-F238E27FC236}">
              <a16:creationId xmlns:a16="http://schemas.microsoft.com/office/drawing/2014/main" id="{FDE17C74-6999-4EAB-8F80-E60A484B257B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55" name="Text Box 249">
          <a:extLst>
            <a:ext uri="{FF2B5EF4-FFF2-40B4-BE49-F238E27FC236}">
              <a16:creationId xmlns:a16="http://schemas.microsoft.com/office/drawing/2014/main" id="{C8004596-F9D2-4F5F-A97F-0F06721B4946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56" name="Text Box 249">
          <a:extLst>
            <a:ext uri="{FF2B5EF4-FFF2-40B4-BE49-F238E27FC236}">
              <a16:creationId xmlns:a16="http://schemas.microsoft.com/office/drawing/2014/main" id="{1A72F75B-D2C5-4012-A88F-C17073C5253F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257" name="Text Box 249">
          <a:extLst>
            <a:ext uri="{FF2B5EF4-FFF2-40B4-BE49-F238E27FC236}">
              <a16:creationId xmlns:a16="http://schemas.microsoft.com/office/drawing/2014/main" id="{EA36993B-7D03-4135-9118-05DC764C186B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258" name="Text Box 249">
          <a:extLst>
            <a:ext uri="{FF2B5EF4-FFF2-40B4-BE49-F238E27FC236}">
              <a16:creationId xmlns:a16="http://schemas.microsoft.com/office/drawing/2014/main" id="{0B510043-501B-40DB-BB7A-84BEC246EE85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59" name="Text Box 249">
          <a:extLst>
            <a:ext uri="{FF2B5EF4-FFF2-40B4-BE49-F238E27FC236}">
              <a16:creationId xmlns:a16="http://schemas.microsoft.com/office/drawing/2014/main" id="{038C3AC6-7097-408F-BCFF-F49AC863946D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260" name="Text Box 249">
          <a:extLst>
            <a:ext uri="{FF2B5EF4-FFF2-40B4-BE49-F238E27FC236}">
              <a16:creationId xmlns:a16="http://schemas.microsoft.com/office/drawing/2014/main" id="{827EA1B8-B81A-4F17-9628-804550B2716C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261" name="Text Box 249">
          <a:extLst>
            <a:ext uri="{FF2B5EF4-FFF2-40B4-BE49-F238E27FC236}">
              <a16:creationId xmlns:a16="http://schemas.microsoft.com/office/drawing/2014/main" id="{7115C5DB-3F54-4EAE-A17C-EC9A57FAD61B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62" name="Text Box 249">
          <a:extLst>
            <a:ext uri="{FF2B5EF4-FFF2-40B4-BE49-F238E27FC236}">
              <a16:creationId xmlns:a16="http://schemas.microsoft.com/office/drawing/2014/main" id="{C003B8C6-8EF8-4E9C-AB08-B73617892EED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139</xdr:row>
      <xdr:rowOff>0</xdr:rowOff>
    </xdr:from>
    <xdr:ext cx="104775" cy="208801"/>
    <xdr:sp macro="" textlink="">
      <xdr:nvSpPr>
        <xdr:cNvPr id="263" name="Text Box 249">
          <a:extLst>
            <a:ext uri="{FF2B5EF4-FFF2-40B4-BE49-F238E27FC236}">
              <a16:creationId xmlns:a16="http://schemas.microsoft.com/office/drawing/2014/main" id="{8E9ECA29-4077-49D3-ADC6-351D438C4716}"/>
            </a:ext>
          </a:extLst>
        </xdr:cNvPr>
        <xdr:cNvSpPr txBox="1">
          <a:spLocks noChangeArrowheads="1"/>
        </xdr:cNvSpPr>
      </xdr:nvSpPr>
      <xdr:spPr bwMode="auto">
        <a:xfrm>
          <a:off x="320802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64" name="Text Box 249">
          <a:extLst>
            <a:ext uri="{FF2B5EF4-FFF2-40B4-BE49-F238E27FC236}">
              <a16:creationId xmlns:a16="http://schemas.microsoft.com/office/drawing/2014/main" id="{C710C7A2-D339-4E52-8F2B-D08ED9BED8AA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265" name="Text Box 249">
          <a:extLst>
            <a:ext uri="{FF2B5EF4-FFF2-40B4-BE49-F238E27FC236}">
              <a16:creationId xmlns:a16="http://schemas.microsoft.com/office/drawing/2014/main" id="{6C3D2402-EA1D-4631-BE9C-43D8C9F75092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266" name="Text Box 249">
          <a:extLst>
            <a:ext uri="{FF2B5EF4-FFF2-40B4-BE49-F238E27FC236}">
              <a16:creationId xmlns:a16="http://schemas.microsoft.com/office/drawing/2014/main" id="{BC97E341-7EF2-4113-ABED-08C62E9A0748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67" name="Text Box 249">
          <a:extLst>
            <a:ext uri="{FF2B5EF4-FFF2-40B4-BE49-F238E27FC236}">
              <a16:creationId xmlns:a16="http://schemas.microsoft.com/office/drawing/2014/main" id="{7CD899F5-944F-4960-9747-1F56D6955EB5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268" name="Text Box 249">
          <a:extLst>
            <a:ext uri="{FF2B5EF4-FFF2-40B4-BE49-F238E27FC236}">
              <a16:creationId xmlns:a16="http://schemas.microsoft.com/office/drawing/2014/main" id="{7FB0A9A8-E79E-458F-B599-8EE41C292994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269" name="Text Box 249">
          <a:extLst>
            <a:ext uri="{FF2B5EF4-FFF2-40B4-BE49-F238E27FC236}">
              <a16:creationId xmlns:a16="http://schemas.microsoft.com/office/drawing/2014/main" id="{37A040AF-7A21-416F-B13E-C36DA3A674D1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70" name="Text Box 249">
          <a:extLst>
            <a:ext uri="{FF2B5EF4-FFF2-40B4-BE49-F238E27FC236}">
              <a16:creationId xmlns:a16="http://schemas.microsoft.com/office/drawing/2014/main" id="{D421E504-4CC3-40A8-9111-A893017DA7ED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139</xdr:row>
      <xdr:rowOff>0</xdr:rowOff>
    </xdr:from>
    <xdr:ext cx="104775" cy="208801"/>
    <xdr:sp macro="" textlink="">
      <xdr:nvSpPr>
        <xdr:cNvPr id="271" name="Text Box 249">
          <a:extLst>
            <a:ext uri="{FF2B5EF4-FFF2-40B4-BE49-F238E27FC236}">
              <a16:creationId xmlns:a16="http://schemas.microsoft.com/office/drawing/2014/main" id="{308C9DB5-1197-43BD-BBC4-8FE904B93063}"/>
            </a:ext>
          </a:extLst>
        </xdr:cNvPr>
        <xdr:cNvSpPr txBox="1">
          <a:spLocks noChangeArrowheads="1"/>
        </xdr:cNvSpPr>
      </xdr:nvSpPr>
      <xdr:spPr bwMode="auto">
        <a:xfrm>
          <a:off x="320802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72" name="Text Box 249">
          <a:extLst>
            <a:ext uri="{FF2B5EF4-FFF2-40B4-BE49-F238E27FC236}">
              <a16:creationId xmlns:a16="http://schemas.microsoft.com/office/drawing/2014/main" id="{83A4231D-1D05-4BBA-B30F-E0E0899B46C1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08801"/>
    <xdr:sp macro="" textlink="">
      <xdr:nvSpPr>
        <xdr:cNvPr id="273" name="Text Box 249">
          <a:extLst>
            <a:ext uri="{FF2B5EF4-FFF2-40B4-BE49-F238E27FC236}">
              <a16:creationId xmlns:a16="http://schemas.microsoft.com/office/drawing/2014/main" id="{6F64D9CE-3C59-4B67-9DE1-8636E64FB000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3036"/>
    <xdr:sp macro="" textlink="">
      <xdr:nvSpPr>
        <xdr:cNvPr id="274" name="Text Box 249">
          <a:extLst>
            <a:ext uri="{FF2B5EF4-FFF2-40B4-BE49-F238E27FC236}">
              <a16:creationId xmlns:a16="http://schemas.microsoft.com/office/drawing/2014/main" id="{59D447E6-57BB-423D-96DF-9E6BE3BBC98B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139</xdr:row>
      <xdr:rowOff>0</xdr:rowOff>
    </xdr:from>
    <xdr:ext cx="104775" cy="208801"/>
    <xdr:sp macro="" textlink="">
      <xdr:nvSpPr>
        <xdr:cNvPr id="275" name="Text Box 249">
          <a:extLst>
            <a:ext uri="{FF2B5EF4-FFF2-40B4-BE49-F238E27FC236}">
              <a16:creationId xmlns:a16="http://schemas.microsoft.com/office/drawing/2014/main" id="{6A604913-0C4C-4A2F-9A7B-BF2A2B9C4493}"/>
            </a:ext>
          </a:extLst>
        </xdr:cNvPr>
        <xdr:cNvSpPr txBox="1">
          <a:spLocks noChangeArrowheads="1"/>
        </xdr:cNvSpPr>
      </xdr:nvSpPr>
      <xdr:spPr bwMode="auto">
        <a:xfrm>
          <a:off x="2766060" y="1828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04775" cy="210011"/>
    <xdr:sp macro="" textlink="">
      <xdr:nvSpPr>
        <xdr:cNvPr id="276" name="Text Box 249">
          <a:extLst>
            <a:ext uri="{FF2B5EF4-FFF2-40B4-BE49-F238E27FC236}">
              <a16:creationId xmlns:a16="http://schemas.microsoft.com/office/drawing/2014/main" id="{0AE52910-3672-42B0-9A9E-FB154F403EC6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139</xdr:row>
      <xdr:rowOff>0</xdr:rowOff>
    </xdr:from>
    <xdr:ext cx="120015" cy="226369"/>
    <xdr:sp macro="" textlink="">
      <xdr:nvSpPr>
        <xdr:cNvPr id="277" name="Text Box 249">
          <a:extLst>
            <a:ext uri="{FF2B5EF4-FFF2-40B4-BE49-F238E27FC236}">
              <a16:creationId xmlns:a16="http://schemas.microsoft.com/office/drawing/2014/main" id="{69FE4549-DC3E-464B-893A-33D333C8C2A7}"/>
            </a:ext>
          </a:extLst>
        </xdr:cNvPr>
        <xdr:cNvSpPr txBox="1">
          <a:spLocks noChangeArrowheads="1"/>
        </xdr:cNvSpPr>
      </xdr:nvSpPr>
      <xdr:spPr bwMode="auto">
        <a:xfrm>
          <a:off x="3553460" y="1828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278" name="Text Box 249">
          <a:extLst>
            <a:ext uri="{FF2B5EF4-FFF2-40B4-BE49-F238E27FC236}">
              <a16:creationId xmlns:a16="http://schemas.microsoft.com/office/drawing/2014/main" id="{5E4912B1-4A77-40D4-B338-C28B94D38310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279" name="Text Box 249">
          <a:extLst>
            <a:ext uri="{FF2B5EF4-FFF2-40B4-BE49-F238E27FC236}">
              <a16:creationId xmlns:a16="http://schemas.microsoft.com/office/drawing/2014/main" id="{66427FCB-1C69-4661-998A-51FB321F3FA7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280" name="Text Box 249">
          <a:extLst>
            <a:ext uri="{FF2B5EF4-FFF2-40B4-BE49-F238E27FC236}">
              <a16:creationId xmlns:a16="http://schemas.microsoft.com/office/drawing/2014/main" id="{39FB098C-B6B8-484C-8B8C-F99B7E959888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281" name="Text Box 249">
          <a:extLst>
            <a:ext uri="{FF2B5EF4-FFF2-40B4-BE49-F238E27FC236}">
              <a16:creationId xmlns:a16="http://schemas.microsoft.com/office/drawing/2014/main" id="{9655189C-8C42-4687-8CF1-684D1CD9ED4C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282" name="Text Box 249">
          <a:extLst>
            <a:ext uri="{FF2B5EF4-FFF2-40B4-BE49-F238E27FC236}">
              <a16:creationId xmlns:a16="http://schemas.microsoft.com/office/drawing/2014/main" id="{5E1ABFEA-98F4-47D7-90F3-F0833D37C00D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283" name="Text Box 249">
          <a:extLst>
            <a:ext uri="{FF2B5EF4-FFF2-40B4-BE49-F238E27FC236}">
              <a16:creationId xmlns:a16="http://schemas.microsoft.com/office/drawing/2014/main" id="{4300208F-0828-4939-92FE-93B3BC0287D6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284" name="Text Box 249">
          <a:extLst>
            <a:ext uri="{FF2B5EF4-FFF2-40B4-BE49-F238E27FC236}">
              <a16:creationId xmlns:a16="http://schemas.microsoft.com/office/drawing/2014/main" id="{194E6E25-0B24-47E3-9599-5777B6D153B2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285" name="Text Box 249">
          <a:extLst>
            <a:ext uri="{FF2B5EF4-FFF2-40B4-BE49-F238E27FC236}">
              <a16:creationId xmlns:a16="http://schemas.microsoft.com/office/drawing/2014/main" id="{A22ECF5E-17F9-4637-8B8C-F177022C886F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286" name="Text Box 249">
          <a:extLst>
            <a:ext uri="{FF2B5EF4-FFF2-40B4-BE49-F238E27FC236}">
              <a16:creationId xmlns:a16="http://schemas.microsoft.com/office/drawing/2014/main" id="{EF2296D6-49F3-4BC2-9AC2-37F6BE461ED9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287" name="Text Box 249">
          <a:extLst>
            <a:ext uri="{FF2B5EF4-FFF2-40B4-BE49-F238E27FC236}">
              <a16:creationId xmlns:a16="http://schemas.microsoft.com/office/drawing/2014/main" id="{8B71D8EA-BC06-4EAC-99C9-24FA5C86FE31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288" name="Text Box 249">
          <a:extLst>
            <a:ext uri="{FF2B5EF4-FFF2-40B4-BE49-F238E27FC236}">
              <a16:creationId xmlns:a16="http://schemas.microsoft.com/office/drawing/2014/main" id="{B954DFB2-944D-48F6-B9D3-A1C29DE75397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289" name="Text Box 249">
          <a:extLst>
            <a:ext uri="{FF2B5EF4-FFF2-40B4-BE49-F238E27FC236}">
              <a16:creationId xmlns:a16="http://schemas.microsoft.com/office/drawing/2014/main" id="{08224CCD-A74A-4A3B-9A7A-2287E8D8C38C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290" name="Text Box 249">
          <a:extLst>
            <a:ext uri="{FF2B5EF4-FFF2-40B4-BE49-F238E27FC236}">
              <a16:creationId xmlns:a16="http://schemas.microsoft.com/office/drawing/2014/main" id="{1AFC7DFD-29DF-4DB2-8E76-BAAA1A72FCF3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291" name="Text Box 249">
          <a:extLst>
            <a:ext uri="{FF2B5EF4-FFF2-40B4-BE49-F238E27FC236}">
              <a16:creationId xmlns:a16="http://schemas.microsoft.com/office/drawing/2014/main" id="{24E43C44-DADF-40C4-9239-8A0DF940AC29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292" name="Text Box 249">
          <a:extLst>
            <a:ext uri="{FF2B5EF4-FFF2-40B4-BE49-F238E27FC236}">
              <a16:creationId xmlns:a16="http://schemas.microsoft.com/office/drawing/2014/main" id="{694EAC45-91F4-4760-AFBD-C2A5ADB731F3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293" name="Text Box 249">
          <a:extLst>
            <a:ext uri="{FF2B5EF4-FFF2-40B4-BE49-F238E27FC236}">
              <a16:creationId xmlns:a16="http://schemas.microsoft.com/office/drawing/2014/main" id="{3CDE5665-6E2A-42B4-9C19-A3E287E8A3F2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294" name="Text Box 249">
          <a:extLst>
            <a:ext uri="{FF2B5EF4-FFF2-40B4-BE49-F238E27FC236}">
              <a16:creationId xmlns:a16="http://schemas.microsoft.com/office/drawing/2014/main" id="{2428DECC-9809-4170-A08E-C614928371DE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295" name="Text Box 249">
          <a:extLst>
            <a:ext uri="{FF2B5EF4-FFF2-40B4-BE49-F238E27FC236}">
              <a16:creationId xmlns:a16="http://schemas.microsoft.com/office/drawing/2014/main" id="{E0284669-730C-4034-90ED-7F7720A73618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296" name="Text Box 249">
          <a:extLst>
            <a:ext uri="{FF2B5EF4-FFF2-40B4-BE49-F238E27FC236}">
              <a16:creationId xmlns:a16="http://schemas.microsoft.com/office/drawing/2014/main" id="{96E73D65-9CD4-41EC-B78A-C443E5447D52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297" name="Text Box 249">
          <a:extLst>
            <a:ext uri="{FF2B5EF4-FFF2-40B4-BE49-F238E27FC236}">
              <a16:creationId xmlns:a16="http://schemas.microsoft.com/office/drawing/2014/main" id="{2ED250EC-90C0-41AC-ABFF-924AF122D384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298" name="Text Box 249">
          <a:extLst>
            <a:ext uri="{FF2B5EF4-FFF2-40B4-BE49-F238E27FC236}">
              <a16:creationId xmlns:a16="http://schemas.microsoft.com/office/drawing/2014/main" id="{E57622EA-566F-4959-A2C0-6990E375A7D1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299" name="Text Box 249">
          <a:extLst>
            <a:ext uri="{FF2B5EF4-FFF2-40B4-BE49-F238E27FC236}">
              <a16:creationId xmlns:a16="http://schemas.microsoft.com/office/drawing/2014/main" id="{B25479D5-DD61-4B1A-B9EA-712C9675B0F9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00" name="Text Box 249">
          <a:extLst>
            <a:ext uri="{FF2B5EF4-FFF2-40B4-BE49-F238E27FC236}">
              <a16:creationId xmlns:a16="http://schemas.microsoft.com/office/drawing/2014/main" id="{4DDF5F81-0356-493E-BC61-3C55D08A090E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301" name="Text Box 249">
          <a:extLst>
            <a:ext uri="{FF2B5EF4-FFF2-40B4-BE49-F238E27FC236}">
              <a16:creationId xmlns:a16="http://schemas.microsoft.com/office/drawing/2014/main" id="{A0690A3E-E902-45C6-8FBD-0A604906F9E6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302" name="Text Box 249">
          <a:extLst>
            <a:ext uri="{FF2B5EF4-FFF2-40B4-BE49-F238E27FC236}">
              <a16:creationId xmlns:a16="http://schemas.microsoft.com/office/drawing/2014/main" id="{D49D3224-C8DA-4C18-B816-4A6017A5DDA8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03" name="Text Box 249">
          <a:extLst>
            <a:ext uri="{FF2B5EF4-FFF2-40B4-BE49-F238E27FC236}">
              <a16:creationId xmlns:a16="http://schemas.microsoft.com/office/drawing/2014/main" id="{23C6E528-E2F9-4951-8C39-20227A6A97D7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304" name="Text Box 249">
          <a:extLst>
            <a:ext uri="{FF2B5EF4-FFF2-40B4-BE49-F238E27FC236}">
              <a16:creationId xmlns:a16="http://schemas.microsoft.com/office/drawing/2014/main" id="{CDAEE48C-2FB5-412B-85D3-1847AD2C4638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305" name="Text Box 249">
          <a:extLst>
            <a:ext uri="{FF2B5EF4-FFF2-40B4-BE49-F238E27FC236}">
              <a16:creationId xmlns:a16="http://schemas.microsoft.com/office/drawing/2014/main" id="{93F0B180-699A-43AB-87CD-1541290C5D19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06" name="Text Box 249">
          <a:extLst>
            <a:ext uri="{FF2B5EF4-FFF2-40B4-BE49-F238E27FC236}">
              <a16:creationId xmlns:a16="http://schemas.microsoft.com/office/drawing/2014/main" id="{D1CDB6BA-F234-4DFA-B666-326527901E36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140</xdr:row>
      <xdr:rowOff>0</xdr:rowOff>
    </xdr:from>
    <xdr:ext cx="104775" cy="208801"/>
    <xdr:sp macro="" textlink="">
      <xdr:nvSpPr>
        <xdr:cNvPr id="307" name="Text Box 249">
          <a:extLst>
            <a:ext uri="{FF2B5EF4-FFF2-40B4-BE49-F238E27FC236}">
              <a16:creationId xmlns:a16="http://schemas.microsoft.com/office/drawing/2014/main" id="{EC27D962-D4A0-423F-8A0D-A45C2B5A8AD7}"/>
            </a:ext>
          </a:extLst>
        </xdr:cNvPr>
        <xdr:cNvSpPr txBox="1">
          <a:spLocks noChangeArrowheads="1"/>
        </xdr:cNvSpPr>
      </xdr:nvSpPr>
      <xdr:spPr bwMode="auto">
        <a:xfrm>
          <a:off x="320802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08" name="Text Box 249">
          <a:extLst>
            <a:ext uri="{FF2B5EF4-FFF2-40B4-BE49-F238E27FC236}">
              <a16:creationId xmlns:a16="http://schemas.microsoft.com/office/drawing/2014/main" id="{000E0527-41EF-4082-8572-FDCD28F69E48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309" name="Text Box 249">
          <a:extLst>
            <a:ext uri="{FF2B5EF4-FFF2-40B4-BE49-F238E27FC236}">
              <a16:creationId xmlns:a16="http://schemas.microsoft.com/office/drawing/2014/main" id="{354F5C0A-7EED-49BE-9153-0F3C97C8B15C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310" name="Text Box 249">
          <a:extLst>
            <a:ext uri="{FF2B5EF4-FFF2-40B4-BE49-F238E27FC236}">
              <a16:creationId xmlns:a16="http://schemas.microsoft.com/office/drawing/2014/main" id="{9080D4FF-BE63-412A-BE14-493478CEC2D3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11" name="Text Box 249">
          <a:extLst>
            <a:ext uri="{FF2B5EF4-FFF2-40B4-BE49-F238E27FC236}">
              <a16:creationId xmlns:a16="http://schemas.microsoft.com/office/drawing/2014/main" id="{79A0483F-D91B-4BD4-B015-AF4727550967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312" name="Text Box 249">
          <a:extLst>
            <a:ext uri="{FF2B5EF4-FFF2-40B4-BE49-F238E27FC236}">
              <a16:creationId xmlns:a16="http://schemas.microsoft.com/office/drawing/2014/main" id="{223A8F69-E443-47F7-B921-90EC93E4B076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313" name="Text Box 249">
          <a:extLst>
            <a:ext uri="{FF2B5EF4-FFF2-40B4-BE49-F238E27FC236}">
              <a16:creationId xmlns:a16="http://schemas.microsoft.com/office/drawing/2014/main" id="{440A75D6-17C5-4922-BD1F-29286DAD1F4B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14" name="Text Box 249">
          <a:extLst>
            <a:ext uri="{FF2B5EF4-FFF2-40B4-BE49-F238E27FC236}">
              <a16:creationId xmlns:a16="http://schemas.microsoft.com/office/drawing/2014/main" id="{FB3A0C07-2F8E-4182-BAA8-A62BB6975C32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140</xdr:row>
      <xdr:rowOff>0</xdr:rowOff>
    </xdr:from>
    <xdr:ext cx="104775" cy="208801"/>
    <xdr:sp macro="" textlink="">
      <xdr:nvSpPr>
        <xdr:cNvPr id="315" name="Text Box 249">
          <a:extLst>
            <a:ext uri="{FF2B5EF4-FFF2-40B4-BE49-F238E27FC236}">
              <a16:creationId xmlns:a16="http://schemas.microsoft.com/office/drawing/2014/main" id="{C6E26D81-BF6E-42D5-B615-E4BC1BE20BC1}"/>
            </a:ext>
          </a:extLst>
        </xdr:cNvPr>
        <xdr:cNvSpPr txBox="1">
          <a:spLocks noChangeArrowheads="1"/>
        </xdr:cNvSpPr>
      </xdr:nvSpPr>
      <xdr:spPr bwMode="auto">
        <a:xfrm>
          <a:off x="320802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16" name="Text Box 249">
          <a:extLst>
            <a:ext uri="{FF2B5EF4-FFF2-40B4-BE49-F238E27FC236}">
              <a16:creationId xmlns:a16="http://schemas.microsoft.com/office/drawing/2014/main" id="{CAFEBC55-3645-467F-931B-040B55CACB2F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317" name="Text Box 249">
          <a:extLst>
            <a:ext uri="{FF2B5EF4-FFF2-40B4-BE49-F238E27FC236}">
              <a16:creationId xmlns:a16="http://schemas.microsoft.com/office/drawing/2014/main" id="{ACBFE37C-F324-4621-906C-A74DEA23EE2A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318" name="Text Box 249">
          <a:extLst>
            <a:ext uri="{FF2B5EF4-FFF2-40B4-BE49-F238E27FC236}">
              <a16:creationId xmlns:a16="http://schemas.microsoft.com/office/drawing/2014/main" id="{34F51605-5E50-42F4-9504-DF995DE44ACE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19" name="Text Box 249">
          <a:extLst>
            <a:ext uri="{FF2B5EF4-FFF2-40B4-BE49-F238E27FC236}">
              <a16:creationId xmlns:a16="http://schemas.microsoft.com/office/drawing/2014/main" id="{7D1EF647-0680-41F1-A01C-284F00AC3617}"/>
            </a:ext>
          </a:extLst>
        </xdr:cNvPr>
        <xdr:cNvSpPr txBox="1">
          <a:spLocks noChangeArrowheads="1"/>
        </xdr:cNvSpPr>
      </xdr:nvSpPr>
      <xdr:spPr bwMode="auto">
        <a:xfrm>
          <a:off x="2766060" y="1847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320" name="Text Box 249">
          <a:extLst>
            <a:ext uri="{FF2B5EF4-FFF2-40B4-BE49-F238E27FC236}">
              <a16:creationId xmlns:a16="http://schemas.microsoft.com/office/drawing/2014/main" id="{72E87539-9086-4422-81CC-CED8949D5EAE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321" name="Text Box 249">
          <a:extLst>
            <a:ext uri="{FF2B5EF4-FFF2-40B4-BE49-F238E27FC236}">
              <a16:creationId xmlns:a16="http://schemas.microsoft.com/office/drawing/2014/main" id="{A9CE48C9-5D35-4AFC-9998-28B4ECCCEF78}"/>
            </a:ext>
          </a:extLst>
        </xdr:cNvPr>
        <xdr:cNvSpPr txBox="1">
          <a:spLocks noChangeArrowheads="1"/>
        </xdr:cNvSpPr>
      </xdr:nvSpPr>
      <xdr:spPr bwMode="auto">
        <a:xfrm>
          <a:off x="3553460" y="18478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22" name="Text Box 249">
          <a:extLst>
            <a:ext uri="{FF2B5EF4-FFF2-40B4-BE49-F238E27FC236}">
              <a16:creationId xmlns:a16="http://schemas.microsoft.com/office/drawing/2014/main" id="{C3445584-31AE-483D-8418-75E37C1C595E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23" name="Text Box 249">
          <a:extLst>
            <a:ext uri="{FF2B5EF4-FFF2-40B4-BE49-F238E27FC236}">
              <a16:creationId xmlns:a16="http://schemas.microsoft.com/office/drawing/2014/main" id="{7985D4F5-0470-41AE-B0D8-C22BB1AD7281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08801"/>
    <xdr:sp macro="" textlink="">
      <xdr:nvSpPr>
        <xdr:cNvPr id="324" name="Text Box 249">
          <a:extLst>
            <a:ext uri="{FF2B5EF4-FFF2-40B4-BE49-F238E27FC236}">
              <a16:creationId xmlns:a16="http://schemas.microsoft.com/office/drawing/2014/main" id="{4F69EE76-2A6D-4832-971B-B7A466CA4A99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3036"/>
    <xdr:sp macro="" textlink="">
      <xdr:nvSpPr>
        <xdr:cNvPr id="325" name="Text Box 249">
          <a:extLst>
            <a:ext uri="{FF2B5EF4-FFF2-40B4-BE49-F238E27FC236}">
              <a16:creationId xmlns:a16="http://schemas.microsoft.com/office/drawing/2014/main" id="{734A7997-F08A-4C08-9F86-E4462AA4ACDB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26" name="Text Box 249">
          <a:extLst>
            <a:ext uri="{FF2B5EF4-FFF2-40B4-BE49-F238E27FC236}">
              <a16:creationId xmlns:a16="http://schemas.microsoft.com/office/drawing/2014/main" id="{43186864-9E2D-47BC-9D55-246F41BE9093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0011"/>
    <xdr:sp macro="" textlink="">
      <xdr:nvSpPr>
        <xdr:cNvPr id="327" name="Text Box 249">
          <a:extLst>
            <a:ext uri="{FF2B5EF4-FFF2-40B4-BE49-F238E27FC236}">
              <a16:creationId xmlns:a16="http://schemas.microsoft.com/office/drawing/2014/main" id="{AAA00940-8B24-41A3-BD39-741F9A380041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20015" cy="226369"/>
    <xdr:sp macro="" textlink="">
      <xdr:nvSpPr>
        <xdr:cNvPr id="328" name="Text Box 249">
          <a:extLst>
            <a:ext uri="{FF2B5EF4-FFF2-40B4-BE49-F238E27FC236}">
              <a16:creationId xmlns:a16="http://schemas.microsoft.com/office/drawing/2014/main" id="{86277404-BE00-4AF5-8897-961F6EA49E09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29" name="Text Box 249">
          <a:extLst>
            <a:ext uri="{FF2B5EF4-FFF2-40B4-BE49-F238E27FC236}">
              <a16:creationId xmlns:a16="http://schemas.microsoft.com/office/drawing/2014/main" id="{E87FFC47-1E3D-4BEA-A025-5113B8EA4E0D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30" name="Text Box 249">
          <a:extLst>
            <a:ext uri="{FF2B5EF4-FFF2-40B4-BE49-F238E27FC236}">
              <a16:creationId xmlns:a16="http://schemas.microsoft.com/office/drawing/2014/main" id="{921AE81C-6A93-4BE6-97D7-51BA9CB6BA8E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08801"/>
    <xdr:sp macro="" textlink="">
      <xdr:nvSpPr>
        <xdr:cNvPr id="331" name="Text Box 249">
          <a:extLst>
            <a:ext uri="{FF2B5EF4-FFF2-40B4-BE49-F238E27FC236}">
              <a16:creationId xmlns:a16="http://schemas.microsoft.com/office/drawing/2014/main" id="{5DA9517A-6B57-47C0-A67B-8E2B97E47173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3036"/>
    <xdr:sp macro="" textlink="">
      <xdr:nvSpPr>
        <xdr:cNvPr id="332" name="Text Box 249">
          <a:extLst>
            <a:ext uri="{FF2B5EF4-FFF2-40B4-BE49-F238E27FC236}">
              <a16:creationId xmlns:a16="http://schemas.microsoft.com/office/drawing/2014/main" id="{E7A89F45-A0C4-449C-8DD5-A8011571C21C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33" name="Text Box 249">
          <a:extLst>
            <a:ext uri="{FF2B5EF4-FFF2-40B4-BE49-F238E27FC236}">
              <a16:creationId xmlns:a16="http://schemas.microsoft.com/office/drawing/2014/main" id="{42F3AA7F-3BE4-4909-BAEC-13729B1DC28A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0011"/>
    <xdr:sp macro="" textlink="">
      <xdr:nvSpPr>
        <xdr:cNvPr id="334" name="Text Box 249">
          <a:extLst>
            <a:ext uri="{FF2B5EF4-FFF2-40B4-BE49-F238E27FC236}">
              <a16:creationId xmlns:a16="http://schemas.microsoft.com/office/drawing/2014/main" id="{19F68EE3-4298-499C-8B3F-AC80C344BE42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20015" cy="226369"/>
    <xdr:sp macro="" textlink="">
      <xdr:nvSpPr>
        <xdr:cNvPr id="335" name="Text Box 249">
          <a:extLst>
            <a:ext uri="{FF2B5EF4-FFF2-40B4-BE49-F238E27FC236}">
              <a16:creationId xmlns:a16="http://schemas.microsoft.com/office/drawing/2014/main" id="{552EFF3E-AAFD-4955-9143-4509F9DE45AD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36" name="Text Box 249">
          <a:extLst>
            <a:ext uri="{FF2B5EF4-FFF2-40B4-BE49-F238E27FC236}">
              <a16:creationId xmlns:a16="http://schemas.microsoft.com/office/drawing/2014/main" id="{C619E98D-0E4A-4BA4-8206-99BA02503241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37" name="Text Box 249">
          <a:extLst>
            <a:ext uri="{FF2B5EF4-FFF2-40B4-BE49-F238E27FC236}">
              <a16:creationId xmlns:a16="http://schemas.microsoft.com/office/drawing/2014/main" id="{1FC731EB-9013-451D-84CC-33CA1BFC19B8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08801"/>
    <xdr:sp macro="" textlink="">
      <xdr:nvSpPr>
        <xdr:cNvPr id="338" name="Text Box 249">
          <a:extLst>
            <a:ext uri="{FF2B5EF4-FFF2-40B4-BE49-F238E27FC236}">
              <a16:creationId xmlns:a16="http://schemas.microsoft.com/office/drawing/2014/main" id="{37BEBB12-C486-4E54-9262-92A051E1C6C4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3036"/>
    <xdr:sp macro="" textlink="">
      <xdr:nvSpPr>
        <xdr:cNvPr id="339" name="Text Box 249">
          <a:extLst>
            <a:ext uri="{FF2B5EF4-FFF2-40B4-BE49-F238E27FC236}">
              <a16:creationId xmlns:a16="http://schemas.microsoft.com/office/drawing/2014/main" id="{132C1437-1B57-4730-A9D7-440185A91D9C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40" name="Text Box 249">
          <a:extLst>
            <a:ext uri="{FF2B5EF4-FFF2-40B4-BE49-F238E27FC236}">
              <a16:creationId xmlns:a16="http://schemas.microsoft.com/office/drawing/2014/main" id="{EEFFE801-C770-4738-8891-00F4B416B1A1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0011"/>
    <xdr:sp macro="" textlink="">
      <xdr:nvSpPr>
        <xdr:cNvPr id="341" name="Text Box 249">
          <a:extLst>
            <a:ext uri="{FF2B5EF4-FFF2-40B4-BE49-F238E27FC236}">
              <a16:creationId xmlns:a16="http://schemas.microsoft.com/office/drawing/2014/main" id="{1239EA75-F5B3-4E1D-B039-53F251AA9D3B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20015" cy="226369"/>
    <xdr:sp macro="" textlink="">
      <xdr:nvSpPr>
        <xdr:cNvPr id="342" name="Text Box 249">
          <a:extLst>
            <a:ext uri="{FF2B5EF4-FFF2-40B4-BE49-F238E27FC236}">
              <a16:creationId xmlns:a16="http://schemas.microsoft.com/office/drawing/2014/main" id="{101315F9-87BB-4956-B2FC-0ACA334EED70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43" name="Text Box 249">
          <a:extLst>
            <a:ext uri="{FF2B5EF4-FFF2-40B4-BE49-F238E27FC236}">
              <a16:creationId xmlns:a16="http://schemas.microsoft.com/office/drawing/2014/main" id="{729843F2-A337-4748-9B6B-F366D0E050D7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44" name="Text Box 249">
          <a:extLst>
            <a:ext uri="{FF2B5EF4-FFF2-40B4-BE49-F238E27FC236}">
              <a16:creationId xmlns:a16="http://schemas.microsoft.com/office/drawing/2014/main" id="{E79BDADD-C2B6-450E-86BC-EFD6D843B15C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08801"/>
    <xdr:sp macro="" textlink="">
      <xdr:nvSpPr>
        <xdr:cNvPr id="345" name="Text Box 249">
          <a:extLst>
            <a:ext uri="{FF2B5EF4-FFF2-40B4-BE49-F238E27FC236}">
              <a16:creationId xmlns:a16="http://schemas.microsoft.com/office/drawing/2014/main" id="{7F4893C1-0068-4880-8C2B-592C05BEB98C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3036"/>
    <xdr:sp macro="" textlink="">
      <xdr:nvSpPr>
        <xdr:cNvPr id="346" name="Text Box 249">
          <a:extLst>
            <a:ext uri="{FF2B5EF4-FFF2-40B4-BE49-F238E27FC236}">
              <a16:creationId xmlns:a16="http://schemas.microsoft.com/office/drawing/2014/main" id="{F05DF985-6364-4316-A9F0-ADC04C6D0B36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47" name="Text Box 249">
          <a:extLst>
            <a:ext uri="{FF2B5EF4-FFF2-40B4-BE49-F238E27FC236}">
              <a16:creationId xmlns:a16="http://schemas.microsoft.com/office/drawing/2014/main" id="{6E16C26F-EA4E-409B-BAC6-CDDB82D4F570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0011"/>
    <xdr:sp macro="" textlink="">
      <xdr:nvSpPr>
        <xdr:cNvPr id="348" name="Text Box 249">
          <a:extLst>
            <a:ext uri="{FF2B5EF4-FFF2-40B4-BE49-F238E27FC236}">
              <a16:creationId xmlns:a16="http://schemas.microsoft.com/office/drawing/2014/main" id="{CCBBD4F7-E129-4A72-AE20-FD297ABF1939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20015" cy="226369"/>
    <xdr:sp macro="" textlink="">
      <xdr:nvSpPr>
        <xdr:cNvPr id="349" name="Text Box 249">
          <a:extLst>
            <a:ext uri="{FF2B5EF4-FFF2-40B4-BE49-F238E27FC236}">
              <a16:creationId xmlns:a16="http://schemas.microsoft.com/office/drawing/2014/main" id="{A9732860-CF2C-4584-A929-EA3EDF35036D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50" name="Text Box 249">
          <a:extLst>
            <a:ext uri="{FF2B5EF4-FFF2-40B4-BE49-F238E27FC236}">
              <a16:creationId xmlns:a16="http://schemas.microsoft.com/office/drawing/2014/main" id="{AD78D676-46C8-4B43-9C67-C4B18FCA2BFF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141</xdr:row>
      <xdr:rowOff>0</xdr:rowOff>
    </xdr:from>
    <xdr:ext cx="104775" cy="208801"/>
    <xdr:sp macro="" textlink="">
      <xdr:nvSpPr>
        <xdr:cNvPr id="351" name="Text Box 249">
          <a:extLst>
            <a:ext uri="{FF2B5EF4-FFF2-40B4-BE49-F238E27FC236}">
              <a16:creationId xmlns:a16="http://schemas.microsoft.com/office/drawing/2014/main" id="{C8AE6161-BB3C-43AF-8F3C-119F9A1C2F1E}"/>
            </a:ext>
          </a:extLst>
        </xdr:cNvPr>
        <xdr:cNvSpPr txBox="1">
          <a:spLocks noChangeArrowheads="1"/>
        </xdr:cNvSpPr>
      </xdr:nvSpPr>
      <xdr:spPr bwMode="auto">
        <a:xfrm>
          <a:off x="320802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52" name="Text Box 249">
          <a:extLst>
            <a:ext uri="{FF2B5EF4-FFF2-40B4-BE49-F238E27FC236}">
              <a16:creationId xmlns:a16="http://schemas.microsoft.com/office/drawing/2014/main" id="{62FF9CB5-887E-4862-9BB4-F8416FB94120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08801"/>
    <xdr:sp macro="" textlink="">
      <xdr:nvSpPr>
        <xdr:cNvPr id="353" name="Text Box 249">
          <a:extLst>
            <a:ext uri="{FF2B5EF4-FFF2-40B4-BE49-F238E27FC236}">
              <a16:creationId xmlns:a16="http://schemas.microsoft.com/office/drawing/2014/main" id="{B6653ED6-79BE-4D2D-973E-3F42616A4489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3036"/>
    <xdr:sp macro="" textlink="">
      <xdr:nvSpPr>
        <xdr:cNvPr id="354" name="Text Box 249">
          <a:extLst>
            <a:ext uri="{FF2B5EF4-FFF2-40B4-BE49-F238E27FC236}">
              <a16:creationId xmlns:a16="http://schemas.microsoft.com/office/drawing/2014/main" id="{48C0EC4C-4AE4-42C2-9B5F-5A035BD2D8A7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55" name="Text Box 249">
          <a:extLst>
            <a:ext uri="{FF2B5EF4-FFF2-40B4-BE49-F238E27FC236}">
              <a16:creationId xmlns:a16="http://schemas.microsoft.com/office/drawing/2014/main" id="{3DFAD76A-7248-48E6-8864-AE551F17AF55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0011"/>
    <xdr:sp macro="" textlink="">
      <xdr:nvSpPr>
        <xdr:cNvPr id="356" name="Text Box 249">
          <a:extLst>
            <a:ext uri="{FF2B5EF4-FFF2-40B4-BE49-F238E27FC236}">
              <a16:creationId xmlns:a16="http://schemas.microsoft.com/office/drawing/2014/main" id="{1B2AE872-5ACF-4B36-9C22-690E280EE045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20015" cy="226369"/>
    <xdr:sp macro="" textlink="">
      <xdr:nvSpPr>
        <xdr:cNvPr id="357" name="Text Box 249">
          <a:extLst>
            <a:ext uri="{FF2B5EF4-FFF2-40B4-BE49-F238E27FC236}">
              <a16:creationId xmlns:a16="http://schemas.microsoft.com/office/drawing/2014/main" id="{01C669FF-F231-4B00-BBC6-775FF83D378B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58" name="Text Box 249">
          <a:extLst>
            <a:ext uri="{FF2B5EF4-FFF2-40B4-BE49-F238E27FC236}">
              <a16:creationId xmlns:a16="http://schemas.microsoft.com/office/drawing/2014/main" id="{42FDDA08-ACC0-4DA0-A54F-7CD3D775C8A5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141</xdr:row>
      <xdr:rowOff>0</xdr:rowOff>
    </xdr:from>
    <xdr:ext cx="104775" cy="208801"/>
    <xdr:sp macro="" textlink="">
      <xdr:nvSpPr>
        <xdr:cNvPr id="359" name="Text Box 249">
          <a:extLst>
            <a:ext uri="{FF2B5EF4-FFF2-40B4-BE49-F238E27FC236}">
              <a16:creationId xmlns:a16="http://schemas.microsoft.com/office/drawing/2014/main" id="{18013280-C072-4D51-A40E-67B46EED0F36}"/>
            </a:ext>
          </a:extLst>
        </xdr:cNvPr>
        <xdr:cNvSpPr txBox="1">
          <a:spLocks noChangeArrowheads="1"/>
        </xdr:cNvSpPr>
      </xdr:nvSpPr>
      <xdr:spPr bwMode="auto">
        <a:xfrm>
          <a:off x="320802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60" name="Text Box 249">
          <a:extLst>
            <a:ext uri="{FF2B5EF4-FFF2-40B4-BE49-F238E27FC236}">
              <a16:creationId xmlns:a16="http://schemas.microsoft.com/office/drawing/2014/main" id="{7D21CE1F-62DF-4BC9-8E6D-88F90C786B76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08801"/>
    <xdr:sp macro="" textlink="">
      <xdr:nvSpPr>
        <xdr:cNvPr id="361" name="Text Box 249">
          <a:extLst>
            <a:ext uri="{FF2B5EF4-FFF2-40B4-BE49-F238E27FC236}">
              <a16:creationId xmlns:a16="http://schemas.microsoft.com/office/drawing/2014/main" id="{BD0B1926-829B-466E-BBF5-64805235A2F8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3036"/>
    <xdr:sp macro="" textlink="">
      <xdr:nvSpPr>
        <xdr:cNvPr id="362" name="Text Box 249">
          <a:extLst>
            <a:ext uri="{FF2B5EF4-FFF2-40B4-BE49-F238E27FC236}">
              <a16:creationId xmlns:a16="http://schemas.microsoft.com/office/drawing/2014/main" id="{EEC45B5A-5E03-49AF-9BF4-648CC8804658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141</xdr:row>
      <xdr:rowOff>0</xdr:rowOff>
    </xdr:from>
    <xdr:ext cx="104775" cy="208801"/>
    <xdr:sp macro="" textlink="">
      <xdr:nvSpPr>
        <xdr:cNvPr id="363" name="Text Box 249">
          <a:extLst>
            <a:ext uri="{FF2B5EF4-FFF2-40B4-BE49-F238E27FC236}">
              <a16:creationId xmlns:a16="http://schemas.microsoft.com/office/drawing/2014/main" id="{FC62293E-49CC-4867-9366-24E7F5C44FE2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04775" cy="210011"/>
    <xdr:sp macro="" textlink="">
      <xdr:nvSpPr>
        <xdr:cNvPr id="364" name="Text Box 249">
          <a:extLst>
            <a:ext uri="{FF2B5EF4-FFF2-40B4-BE49-F238E27FC236}">
              <a16:creationId xmlns:a16="http://schemas.microsoft.com/office/drawing/2014/main" id="{D69DA07C-C597-473C-B1FE-5590E8CA7210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141</xdr:row>
      <xdr:rowOff>0</xdr:rowOff>
    </xdr:from>
    <xdr:ext cx="120015" cy="226369"/>
    <xdr:sp macro="" textlink="">
      <xdr:nvSpPr>
        <xdr:cNvPr id="365" name="Text Box 249">
          <a:extLst>
            <a:ext uri="{FF2B5EF4-FFF2-40B4-BE49-F238E27FC236}">
              <a16:creationId xmlns:a16="http://schemas.microsoft.com/office/drawing/2014/main" id="{162FB09B-B2FE-4212-820E-469B4232556E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66" name="Text Box 249">
          <a:extLst>
            <a:ext uri="{FF2B5EF4-FFF2-40B4-BE49-F238E27FC236}">
              <a16:creationId xmlns:a16="http://schemas.microsoft.com/office/drawing/2014/main" id="{E0F690F9-F0A5-4737-952C-6CFFEB23E900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67" name="Text Box 249">
          <a:extLst>
            <a:ext uri="{FF2B5EF4-FFF2-40B4-BE49-F238E27FC236}">
              <a16:creationId xmlns:a16="http://schemas.microsoft.com/office/drawing/2014/main" id="{97643BDB-478F-4FFD-A271-8AD330B14C10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368" name="Text Box 249">
          <a:extLst>
            <a:ext uri="{FF2B5EF4-FFF2-40B4-BE49-F238E27FC236}">
              <a16:creationId xmlns:a16="http://schemas.microsoft.com/office/drawing/2014/main" id="{99BD0AC8-2EC1-4450-9F4D-65F613B14C96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369" name="Text Box 249">
          <a:extLst>
            <a:ext uri="{FF2B5EF4-FFF2-40B4-BE49-F238E27FC236}">
              <a16:creationId xmlns:a16="http://schemas.microsoft.com/office/drawing/2014/main" id="{5CD711A4-6804-4EE0-9DAF-0DA2129AD957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70" name="Text Box 249">
          <a:extLst>
            <a:ext uri="{FF2B5EF4-FFF2-40B4-BE49-F238E27FC236}">
              <a16:creationId xmlns:a16="http://schemas.microsoft.com/office/drawing/2014/main" id="{47F4C981-84F8-440C-8AFA-DEF8F2C026CB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371" name="Text Box 249">
          <a:extLst>
            <a:ext uri="{FF2B5EF4-FFF2-40B4-BE49-F238E27FC236}">
              <a16:creationId xmlns:a16="http://schemas.microsoft.com/office/drawing/2014/main" id="{FE954794-0E7C-4516-BD04-2BC55B5AB293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372" name="Text Box 249">
          <a:extLst>
            <a:ext uri="{FF2B5EF4-FFF2-40B4-BE49-F238E27FC236}">
              <a16:creationId xmlns:a16="http://schemas.microsoft.com/office/drawing/2014/main" id="{F7B241AB-3954-4BF9-A2B6-1BA1EA64DAAC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73" name="Text Box 249">
          <a:extLst>
            <a:ext uri="{FF2B5EF4-FFF2-40B4-BE49-F238E27FC236}">
              <a16:creationId xmlns:a16="http://schemas.microsoft.com/office/drawing/2014/main" id="{A756E1C9-863B-48AB-94C2-90EF6744525F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74" name="Text Box 249">
          <a:extLst>
            <a:ext uri="{FF2B5EF4-FFF2-40B4-BE49-F238E27FC236}">
              <a16:creationId xmlns:a16="http://schemas.microsoft.com/office/drawing/2014/main" id="{E6D82CD4-0C2E-49BE-8850-3F5C25590AA5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375" name="Text Box 249">
          <a:extLst>
            <a:ext uri="{FF2B5EF4-FFF2-40B4-BE49-F238E27FC236}">
              <a16:creationId xmlns:a16="http://schemas.microsoft.com/office/drawing/2014/main" id="{B14BAA2D-7F11-42CA-9273-EA79167FD44F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376" name="Text Box 249">
          <a:extLst>
            <a:ext uri="{FF2B5EF4-FFF2-40B4-BE49-F238E27FC236}">
              <a16:creationId xmlns:a16="http://schemas.microsoft.com/office/drawing/2014/main" id="{F51C3BB1-3098-4730-88E4-6B832EB7B305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77" name="Text Box 249">
          <a:extLst>
            <a:ext uri="{FF2B5EF4-FFF2-40B4-BE49-F238E27FC236}">
              <a16:creationId xmlns:a16="http://schemas.microsoft.com/office/drawing/2014/main" id="{D2419586-74F8-416D-A194-FC3C5774BFB1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378" name="Text Box 249">
          <a:extLst>
            <a:ext uri="{FF2B5EF4-FFF2-40B4-BE49-F238E27FC236}">
              <a16:creationId xmlns:a16="http://schemas.microsoft.com/office/drawing/2014/main" id="{1EAA5A85-79AE-4815-AA81-570FFEBC12AE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379" name="Text Box 249">
          <a:extLst>
            <a:ext uri="{FF2B5EF4-FFF2-40B4-BE49-F238E27FC236}">
              <a16:creationId xmlns:a16="http://schemas.microsoft.com/office/drawing/2014/main" id="{E84D2D56-8FCA-4AC0-B26A-CE2224B49176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80" name="Text Box 249">
          <a:extLst>
            <a:ext uri="{FF2B5EF4-FFF2-40B4-BE49-F238E27FC236}">
              <a16:creationId xmlns:a16="http://schemas.microsoft.com/office/drawing/2014/main" id="{F8C4F27A-2DE8-40CF-90C0-BB45C8A0573F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81" name="Text Box 249">
          <a:extLst>
            <a:ext uri="{FF2B5EF4-FFF2-40B4-BE49-F238E27FC236}">
              <a16:creationId xmlns:a16="http://schemas.microsoft.com/office/drawing/2014/main" id="{81F526BC-B24D-4300-B39A-6D0F84A6C096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382" name="Text Box 249">
          <a:extLst>
            <a:ext uri="{FF2B5EF4-FFF2-40B4-BE49-F238E27FC236}">
              <a16:creationId xmlns:a16="http://schemas.microsoft.com/office/drawing/2014/main" id="{9EC47300-2959-47AD-A211-D62A28EF056D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383" name="Text Box 249">
          <a:extLst>
            <a:ext uri="{FF2B5EF4-FFF2-40B4-BE49-F238E27FC236}">
              <a16:creationId xmlns:a16="http://schemas.microsoft.com/office/drawing/2014/main" id="{1751B032-DFC3-4F0B-ADD9-60A84203D62E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84" name="Text Box 249">
          <a:extLst>
            <a:ext uri="{FF2B5EF4-FFF2-40B4-BE49-F238E27FC236}">
              <a16:creationId xmlns:a16="http://schemas.microsoft.com/office/drawing/2014/main" id="{BA7ED389-4B54-43B1-910F-B95383FEC9A7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385" name="Text Box 249">
          <a:extLst>
            <a:ext uri="{FF2B5EF4-FFF2-40B4-BE49-F238E27FC236}">
              <a16:creationId xmlns:a16="http://schemas.microsoft.com/office/drawing/2014/main" id="{355CBFC6-9836-4DFB-8FF2-F975C8000CE9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386" name="Text Box 249">
          <a:extLst>
            <a:ext uri="{FF2B5EF4-FFF2-40B4-BE49-F238E27FC236}">
              <a16:creationId xmlns:a16="http://schemas.microsoft.com/office/drawing/2014/main" id="{D0FDA856-C5E5-4FB9-B085-5B2DB83359C4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87" name="Text Box 249">
          <a:extLst>
            <a:ext uri="{FF2B5EF4-FFF2-40B4-BE49-F238E27FC236}">
              <a16:creationId xmlns:a16="http://schemas.microsoft.com/office/drawing/2014/main" id="{21392668-2F4E-4D6D-90A7-B2922F67D53C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88" name="Text Box 249">
          <a:extLst>
            <a:ext uri="{FF2B5EF4-FFF2-40B4-BE49-F238E27FC236}">
              <a16:creationId xmlns:a16="http://schemas.microsoft.com/office/drawing/2014/main" id="{17C36039-DDC9-4EA7-A732-1698D3876B72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389" name="Text Box 249">
          <a:extLst>
            <a:ext uri="{FF2B5EF4-FFF2-40B4-BE49-F238E27FC236}">
              <a16:creationId xmlns:a16="http://schemas.microsoft.com/office/drawing/2014/main" id="{8DE01299-7F50-4CFD-BF67-63C95D9B0A4F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390" name="Text Box 249">
          <a:extLst>
            <a:ext uri="{FF2B5EF4-FFF2-40B4-BE49-F238E27FC236}">
              <a16:creationId xmlns:a16="http://schemas.microsoft.com/office/drawing/2014/main" id="{DCC9E9E1-A996-4E71-BD5E-C2567394697B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91" name="Text Box 249">
          <a:extLst>
            <a:ext uri="{FF2B5EF4-FFF2-40B4-BE49-F238E27FC236}">
              <a16:creationId xmlns:a16="http://schemas.microsoft.com/office/drawing/2014/main" id="{756835F8-4CDE-4CFA-B28A-6CAC625850F0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392" name="Text Box 249">
          <a:extLst>
            <a:ext uri="{FF2B5EF4-FFF2-40B4-BE49-F238E27FC236}">
              <a16:creationId xmlns:a16="http://schemas.microsoft.com/office/drawing/2014/main" id="{7A724E69-3AFE-4615-ACF8-DBDEF1B68AE4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393" name="Text Box 249">
          <a:extLst>
            <a:ext uri="{FF2B5EF4-FFF2-40B4-BE49-F238E27FC236}">
              <a16:creationId xmlns:a16="http://schemas.microsoft.com/office/drawing/2014/main" id="{C1930760-7CEB-4957-AF0F-7C6E891D4803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94" name="Text Box 249">
          <a:extLst>
            <a:ext uri="{FF2B5EF4-FFF2-40B4-BE49-F238E27FC236}">
              <a16:creationId xmlns:a16="http://schemas.microsoft.com/office/drawing/2014/main" id="{70C3A0F0-5E1C-4BDF-BEEF-04E06133543F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140</xdr:row>
      <xdr:rowOff>0</xdr:rowOff>
    </xdr:from>
    <xdr:ext cx="104775" cy="208801"/>
    <xdr:sp macro="" textlink="">
      <xdr:nvSpPr>
        <xdr:cNvPr id="395" name="Text Box 249">
          <a:extLst>
            <a:ext uri="{FF2B5EF4-FFF2-40B4-BE49-F238E27FC236}">
              <a16:creationId xmlns:a16="http://schemas.microsoft.com/office/drawing/2014/main" id="{B4BECE94-5302-400A-B2B9-7ADA90FA6B6F}"/>
            </a:ext>
          </a:extLst>
        </xdr:cNvPr>
        <xdr:cNvSpPr txBox="1">
          <a:spLocks noChangeArrowheads="1"/>
        </xdr:cNvSpPr>
      </xdr:nvSpPr>
      <xdr:spPr bwMode="auto">
        <a:xfrm>
          <a:off x="320802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96" name="Text Box 249">
          <a:extLst>
            <a:ext uri="{FF2B5EF4-FFF2-40B4-BE49-F238E27FC236}">
              <a16:creationId xmlns:a16="http://schemas.microsoft.com/office/drawing/2014/main" id="{8277C901-37D3-4A7E-B6E6-9CDE177C709C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397" name="Text Box 249">
          <a:extLst>
            <a:ext uri="{FF2B5EF4-FFF2-40B4-BE49-F238E27FC236}">
              <a16:creationId xmlns:a16="http://schemas.microsoft.com/office/drawing/2014/main" id="{69EF24A0-D6F7-4437-814D-B09F5A0A662D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398" name="Text Box 249">
          <a:extLst>
            <a:ext uri="{FF2B5EF4-FFF2-40B4-BE49-F238E27FC236}">
              <a16:creationId xmlns:a16="http://schemas.microsoft.com/office/drawing/2014/main" id="{035AAB76-E098-4F2F-ACEE-4C1E2DB98706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399" name="Text Box 249">
          <a:extLst>
            <a:ext uri="{FF2B5EF4-FFF2-40B4-BE49-F238E27FC236}">
              <a16:creationId xmlns:a16="http://schemas.microsoft.com/office/drawing/2014/main" id="{F6C8F5B5-D8A0-4809-B7DE-CF73AE1221D1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400" name="Text Box 249">
          <a:extLst>
            <a:ext uri="{FF2B5EF4-FFF2-40B4-BE49-F238E27FC236}">
              <a16:creationId xmlns:a16="http://schemas.microsoft.com/office/drawing/2014/main" id="{4564CC19-6D7F-4482-A4DF-BD23801ACF2C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401" name="Text Box 249">
          <a:extLst>
            <a:ext uri="{FF2B5EF4-FFF2-40B4-BE49-F238E27FC236}">
              <a16:creationId xmlns:a16="http://schemas.microsoft.com/office/drawing/2014/main" id="{E330E1F8-B0CF-4775-877D-0CF5C0658A17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402" name="Text Box 249">
          <a:extLst>
            <a:ext uri="{FF2B5EF4-FFF2-40B4-BE49-F238E27FC236}">
              <a16:creationId xmlns:a16="http://schemas.microsoft.com/office/drawing/2014/main" id="{EAA1535E-91CF-464E-84EB-C72254214871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140</xdr:row>
      <xdr:rowOff>0</xdr:rowOff>
    </xdr:from>
    <xdr:ext cx="104775" cy="208801"/>
    <xdr:sp macro="" textlink="">
      <xdr:nvSpPr>
        <xdr:cNvPr id="403" name="Text Box 249">
          <a:extLst>
            <a:ext uri="{FF2B5EF4-FFF2-40B4-BE49-F238E27FC236}">
              <a16:creationId xmlns:a16="http://schemas.microsoft.com/office/drawing/2014/main" id="{E853071D-966B-4D1E-A3D1-E19228CEB296}"/>
            </a:ext>
          </a:extLst>
        </xdr:cNvPr>
        <xdr:cNvSpPr txBox="1">
          <a:spLocks noChangeArrowheads="1"/>
        </xdr:cNvSpPr>
      </xdr:nvSpPr>
      <xdr:spPr bwMode="auto">
        <a:xfrm>
          <a:off x="320802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404" name="Text Box 249">
          <a:extLst>
            <a:ext uri="{FF2B5EF4-FFF2-40B4-BE49-F238E27FC236}">
              <a16:creationId xmlns:a16="http://schemas.microsoft.com/office/drawing/2014/main" id="{BCEBF036-7547-4F85-BC27-E61280CDE729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08801"/>
    <xdr:sp macro="" textlink="">
      <xdr:nvSpPr>
        <xdr:cNvPr id="405" name="Text Box 249">
          <a:extLst>
            <a:ext uri="{FF2B5EF4-FFF2-40B4-BE49-F238E27FC236}">
              <a16:creationId xmlns:a16="http://schemas.microsoft.com/office/drawing/2014/main" id="{C04F61D9-AD87-4802-8C93-0EE86E1B8F23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3036"/>
    <xdr:sp macro="" textlink="">
      <xdr:nvSpPr>
        <xdr:cNvPr id="406" name="Text Box 249">
          <a:extLst>
            <a:ext uri="{FF2B5EF4-FFF2-40B4-BE49-F238E27FC236}">
              <a16:creationId xmlns:a16="http://schemas.microsoft.com/office/drawing/2014/main" id="{509FA0F4-4C94-415D-A6B7-E7D644D09C01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140</xdr:row>
      <xdr:rowOff>0</xdr:rowOff>
    </xdr:from>
    <xdr:ext cx="104775" cy="208801"/>
    <xdr:sp macro="" textlink="">
      <xdr:nvSpPr>
        <xdr:cNvPr id="407" name="Text Box 249">
          <a:extLst>
            <a:ext uri="{FF2B5EF4-FFF2-40B4-BE49-F238E27FC236}">
              <a16:creationId xmlns:a16="http://schemas.microsoft.com/office/drawing/2014/main" id="{6B68F964-558A-4678-9CF2-250A6609C692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04775" cy="210011"/>
    <xdr:sp macro="" textlink="">
      <xdr:nvSpPr>
        <xdr:cNvPr id="408" name="Text Box 249">
          <a:extLst>
            <a:ext uri="{FF2B5EF4-FFF2-40B4-BE49-F238E27FC236}">
              <a16:creationId xmlns:a16="http://schemas.microsoft.com/office/drawing/2014/main" id="{0CC7BB2A-38B4-47BC-BE37-6BD1194F9DE0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140</xdr:row>
      <xdr:rowOff>0</xdr:rowOff>
    </xdr:from>
    <xdr:ext cx="120015" cy="226369"/>
    <xdr:sp macro="" textlink="">
      <xdr:nvSpPr>
        <xdr:cNvPr id="409" name="Text Box 249">
          <a:extLst>
            <a:ext uri="{FF2B5EF4-FFF2-40B4-BE49-F238E27FC236}">
              <a16:creationId xmlns:a16="http://schemas.microsoft.com/office/drawing/2014/main" id="{6B9F5184-7F8B-4889-9635-378E87801AD4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498" name="Text Box 249">
          <a:extLst>
            <a:ext uri="{FF2B5EF4-FFF2-40B4-BE49-F238E27FC236}">
              <a16:creationId xmlns:a16="http://schemas.microsoft.com/office/drawing/2014/main" id="{91F1EEED-7527-4E79-96F9-7E038FAE595F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499" name="Text Box 249">
          <a:extLst>
            <a:ext uri="{FF2B5EF4-FFF2-40B4-BE49-F238E27FC236}">
              <a16:creationId xmlns:a16="http://schemas.microsoft.com/office/drawing/2014/main" id="{3B9F2918-BB0A-4215-A10F-E5521CE2351C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00" name="Text Box 249">
          <a:extLst>
            <a:ext uri="{FF2B5EF4-FFF2-40B4-BE49-F238E27FC236}">
              <a16:creationId xmlns:a16="http://schemas.microsoft.com/office/drawing/2014/main" id="{73C30833-F83D-4D01-9167-7F01DA14930A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01" name="Text Box 249">
          <a:extLst>
            <a:ext uri="{FF2B5EF4-FFF2-40B4-BE49-F238E27FC236}">
              <a16:creationId xmlns:a16="http://schemas.microsoft.com/office/drawing/2014/main" id="{E8C7559C-3BD9-40D5-ADBB-976DF4072FED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02" name="Text Box 249">
          <a:extLst>
            <a:ext uri="{FF2B5EF4-FFF2-40B4-BE49-F238E27FC236}">
              <a16:creationId xmlns:a16="http://schemas.microsoft.com/office/drawing/2014/main" id="{5F9712C4-9B1B-48D5-93F3-92320E236D4E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03" name="Text Box 249">
          <a:extLst>
            <a:ext uri="{FF2B5EF4-FFF2-40B4-BE49-F238E27FC236}">
              <a16:creationId xmlns:a16="http://schemas.microsoft.com/office/drawing/2014/main" id="{EE5BB92D-F82C-4A06-B505-BEC9CD8805CA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04" name="Text Box 249">
          <a:extLst>
            <a:ext uri="{FF2B5EF4-FFF2-40B4-BE49-F238E27FC236}">
              <a16:creationId xmlns:a16="http://schemas.microsoft.com/office/drawing/2014/main" id="{2BEB5E03-8320-4F52-BF2C-14A2F0A0CE9F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05" name="Text Box 249">
          <a:extLst>
            <a:ext uri="{FF2B5EF4-FFF2-40B4-BE49-F238E27FC236}">
              <a16:creationId xmlns:a16="http://schemas.microsoft.com/office/drawing/2014/main" id="{C0A27F21-CB19-4A23-992E-18FEBAE1D994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06" name="Text Box 249">
          <a:extLst>
            <a:ext uri="{FF2B5EF4-FFF2-40B4-BE49-F238E27FC236}">
              <a16:creationId xmlns:a16="http://schemas.microsoft.com/office/drawing/2014/main" id="{0057DC4D-A36B-4C1B-8107-156919A15001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07" name="Text Box 249">
          <a:extLst>
            <a:ext uri="{FF2B5EF4-FFF2-40B4-BE49-F238E27FC236}">
              <a16:creationId xmlns:a16="http://schemas.microsoft.com/office/drawing/2014/main" id="{5A9EC81B-080A-43B2-9199-988ED5D43720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08" name="Text Box 249">
          <a:extLst>
            <a:ext uri="{FF2B5EF4-FFF2-40B4-BE49-F238E27FC236}">
              <a16:creationId xmlns:a16="http://schemas.microsoft.com/office/drawing/2014/main" id="{F70B4B63-C98A-480E-BC6D-7777762916A3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09" name="Text Box 249">
          <a:extLst>
            <a:ext uri="{FF2B5EF4-FFF2-40B4-BE49-F238E27FC236}">
              <a16:creationId xmlns:a16="http://schemas.microsoft.com/office/drawing/2014/main" id="{743A34F8-6A29-4AC0-BF1A-4049A11A3981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10" name="Text Box 249">
          <a:extLst>
            <a:ext uri="{FF2B5EF4-FFF2-40B4-BE49-F238E27FC236}">
              <a16:creationId xmlns:a16="http://schemas.microsoft.com/office/drawing/2014/main" id="{D76F2ECE-0668-4D2E-BA22-409A38846323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11" name="Text Box 249">
          <a:extLst>
            <a:ext uri="{FF2B5EF4-FFF2-40B4-BE49-F238E27FC236}">
              <a16:creationId xmlns:a16="http://schemas.microsoft.com/office/drawing/2014/main" id="{C4FEFC66-74AB-43F8-8C82-82D3CF374C93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12" name="Text Box 249">
          <a:extLst>
            <a:ext uri="{FF2B5EF4-FFF2-40B4-BE49-F238E27FC236}">
              <a16:creationId xmlns:a16="http://schemas.microsoft.com/office/drawing/2014/main" id="{8A1D1DB6-6D42-47AF-879B-3D8D0171AF68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13" name="Text Box 249">
          <a:extLst>
            <a:ext uri="{FF2B5EF4-FFF2-40B4-BE49-F238E27FC236}">
              <a16:creationId xmlns:a16="http://schemas.microsoft.com/office/drawing/2014/main" id="{0A386468-C4D7-4044-9A91-E3F93CF1CBC7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14" name="Text Box 249">
          <a:extLst>
            <a:ext uri="{FF2B5EF4-FFF2-40B4-BE49-F238E27FC236}">
              <a16:creationId xmlns:a16="http://schemas.microsoft.com/office/drawing/2014/main" id="{D482694B-BFAC-4BA9-9DA6-19856CA24409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15" name="Text Box 249">
          <a:extLst>
            <a:ext uri="{FF2B5EF4-FFF2-40B4-BE49-F238E27FC236}">
              <a16:creationId xmlns:a16="http://schemas.microsoft.com/office/drawing/2014/main" id="{730C3FDD-0F52-4E6E-BA16-5CE778FBBBCD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16" name="Text Box 249">
          <a:extLst>
            <a:ext uri="{FF2B5EF4-FFF2-40B4-BE49-F238E27FC236}">
              <a16:creationId xmlns:a16="http://schemas.microsoft.com/office/drawing/2014/main" id="{2F62E4B8-6E53-4F4B-8501-BAE7EA63349E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17" name="Text Box 249">
          <a:extLst>
            <a:ext uri="{FF2B5EF4-FFF2-40B4-BE49-F238E27FC236}">
              <a16:creationId xmlns:a16="http://schemas.microsoft.com/office/drawing/2014/main" id="{73F886BC-0FDE-47A9-8F12-284806558730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18" name="Text Box 249">
          <a:extLst>
            <a:ext uri="{FF2B5EF4-FFF2-40B4-BE49-F238E27FC236}">
              <a16:creationId xmlns:a16="http://schemas.microsoft.com/office/drawing/2014/main" id="{67C5ABC5-0A0C-414C-9D31-A6526D1D36BA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19" name="Text Box 249">
          <a:extLst>
            <a:ext uri="{FF2B5EF4-FFF2-40B4-BE49-F238E27FC236}">
              <a16:creationId xmlns:a16="http://schemas.microsoft.com/office/drawing/2014/main" id="{C1BBC344-49A0-469C-848E-2D1BC43A9DDC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20" name="Text Box 249">
          <a:extLst>
            <a:ext uri="{FF2B5EF4-FFF2-40B4-BE49-F238E27FC236}">
              <a16:creationId xmlns:a16="http://schemas.microsoft.com/office/drawing/2014/main" id="{9F37338F-FF46-4E2F-AB13-57F93D875DD6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21" name="Text Box 249">
          <a:extLst>
            <a:ext uri="{FF2B5EF4-FFF2-40B4-BE49-F238E27FC236}">
              <a16:creationId xmlns:a16="http://schemas.microsoft.com/office/drawing/2014/main" id="{348F8DE3-E20A-4AE5-88FE-BB60A3FEBC04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22" name="Text Box 249">
          <a:extLst>
            <a:ext uri="{FF2B5EF4-FFF2-40B4-BE49-F238E27FC236}">
              <a16:creationId xmlns:a16="http://schemas.microsoft.com/office/drawing/2014/main" id="{70530F31-A233-4809-938F-A62D0FCE4489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23" name="Text Box 249">
          <a:extLst>
            <a:ext uri="{FF2B5EF4-FFF2-40B4-BE49-F238E27FC236}">
              <a16:creationId xmlns:a16="http://schemas.microsoft.com/office/drawing/2014/main" id="{2DC79577-E9D3-4BB8-87A3-3346C980E8D6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24" name="Text Box 249">
          <a:extLst>
            <a:ext uri="{FF2B5EF4-FFF2-40B4-BE49-F238E27FC236}">
              <a16:creationId xmlns:a16="http://schemas.microsoft.com/office/drawing/2014/main" id="{3D60EC6E-C400-41AE-9F36-3C747E8F7A4E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25" name="Text Box 249">
          <a:extLst>
            <a:ext uri="{FF2B5EF4-FFF2-40B4-BE49-F238E27FC236}">
              <a16:creationId xmlns:a16="http://schemas.microsoft.com/office/drawing/2014/main" id="{687013E2-6044-4C71-BCD4-4E1D0F2E5A98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26" name="Text Box 249">
          <a:extLst>
            <a:ext uri="{FF2B5EF4-FFF2-40B4-BE49-F238E27FC236}">
              <a16:creationId xmlns:a16="http://schemas.microsoft.com/office/drawing/2014/main" id="{BDC791D8-F34F-4A7A-8700-EA5C12819347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142</xdr:row>
      <xdr:rowOff>0</xdr:rowOff>
    </xdr:from>
    <xdr:ext cx="104775" cy="208801"/>
    <xdr:sp macro="" textlink="">
      <xdr:nvSpPr>
        <xdr:cNvPr id="527" name="Text Box 249">
          <a:extLst>
            <a:ext uri="{FF2B5EF4-FFF2-40B4-BE49-F238E27FC236}">
              <a16:creationId xmlns:a16="http://schemas.microsoft.com/office/drawing/2014/main" id="{C2753385-B8EE-4376-9D95-E22B84B3144D}"/>
            </a:ext>
          </a:extLst>
        </xdr:cNvPr>
        <xdr:cNvSpPr txBox="1">
          <a:spLocks noChangeArrowheads="1"/>
        </xdr:cNvSpPr>
      </xdr:nvSpPr>
      <xdr:spPr bwMode="auto">
        <a:xfrm>
          <a:off x="320802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28" name="Text Box 249">
          <a:extLst>
            <a:ext uri="{FF2B5EF4-FFF2-40B4-BE49-F238E27FC236}">
              <a16:creationId xmlns:a16="http://schemas.microsoft.com/office/drawing/2014/main" id="{06833BDF-A6E0-449D-B671-ED830ED695F7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29" name="Text Box 249">
          <a:extLst>
            <a:ext uri="{FF2B5EF4-FFF2-40B4-BE49-F238E27FC236}">
              <a16:creationId xmlns:a16="http://schemas.microsoft.com/office/drawing/2014/main" id="{A13C78F0-9A64-4672-9124-6128AB1098F1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30" name="Text Box 249">
          <a:extLst>
            <a:ext uri="{FF2B5EF4-FFF2-40B4-BE49-F238E27FC236}">
              <a16:creationId xmlns:a16="http://schemas.microsoft.com/office/drawing/2014/main" id="{CCAF94FE-3F9C-4DB1-B014-18939363DE5E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31" name="Text Box 249">
          <a:extLst>
            <a:ext uri="{FF2B5EF4-FFF2-40B4-BE49-F238E27FC236}">
              <a16:creationId xmlns:a16="http://schemas.microsoft.com/office/drawing/2014/main" id="{B15E2EF6-AD53-4B34-AABF-EEBA56A4148A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32" name="Text Box 249">
          <a:extLst>
            <a:ext uri="{FF2B5EF4-FFF2-40B4-BE49-F238E27FC236}">
              <a16:creationId xmlns:a16="http://schemas.microsoft.com/office/drawing/2014/main" id="{78FAB5F4-A941-461E-B8C5-33E00954A782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33" name="Text Box 249">
          <a:extLst>
            <a:ext uri="{FF2B5EF4-FFF2-40B4-BE49-F238E27FC236}">
              <a16:creationId xmlns:a16="http://schemas.microsoft.com/office/drawing/2014/main" id="{751C3789-29E8-427A-ACA4-077D862BCB88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34" name="Text Box 249">
          <a:extLst>
            <a:ext uri="{FF2B5EF4-FFF2-40B4-BE49-F238E27FC236}">
              <a16:creationId xmlns:a16="http://schemas.microsoft.com/office/drawing/2014/main" id="{0A5BD78A-C732-49E5-A1C0-DC9044B0E08A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142</xdr:row>
      <xdr:rowOff>0</xdr:rowOff>
    </xdr:from>
    <xdr:ext cx="104775" cy="208801"/>
    <xdr:sp macro="" textlink="">
      <xdr:nvSpPr>
        <xdr:cNvPr id="535" name="Text Box 249">
          <a:extLst>
            <a:ext uri="{FF2B5EF4-FFF2-40B4-BE49-F238E27FC236}">
              <a16:creationId xmlns:a16="http://schemas.microsoft.com/office/drawing/2014/main" id="{4C1D090C-8E74-46FF-8B72-03E8C9CD79A4}"/>
            </a:ext>
          </a:extLst>
        </xdr:cNvPr>
        <xdr:cNvSpPr txBox="1">
          <a:spLocks noChangeArrowheads="1"/>
        </xdr:cNvSpPr>
      </xdr:nvSpPr>
      <xdr:spPr bwMode="auto">
        <a:xfrm>
          <a:off x="320802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36" name="Text Box 249">
          <a:extLst>
            <a:ext uri="{FF2B5EF4-FFF2-40B4-BE49-F238E27FC236}">
              <a16:creationId xmlns:a16="http://schemas.microsoft.com/office/drawing/2014/main" id="{77B1D110-39FE-4418-AA00-AF14D0EE384B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37" name="Text Box 249">
          <a:extLst>
            <a:ext uri="{FF2B5EF4-FFF2-40B4-BE49-F238E27FC236}">
              <a16:creationId xmlns:a16="http://schemas.microsoft.com/office/drawing/2014/main" id="{22570EF2-1D1B-4D95-BDF5-0C064FC7413E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38" name="Text Box 249">
          <a:extLst>
            <a:ext uri="{FF2B5EF4-FFF2-40B4-BE49-F238E27FC236}">
              <a16:creationId xmlns:a16="http://schemas.microsoft.com/office/drawing/2014/main" id="{0008C153-5E9B-4115-80FA-442B1BD82C19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39" name="Text Box 249">
          <a:extLst>
            <a:ext uri="{FF2B5EF4-FFF2-40B4-BE49-F238E27FC236}">
              <a16:creationId xmlns:a16="http://schemas.microsoft.com/office/drawing/2014/main" id="{BCACFDC5-C4D8-4D29-8599-AF3DD74EE640}"/>
            </a:ext>
          </a:extLst>
        </xdr:cNvPr>
        <xdr:cNvSpPr txBox="1">
          <a:spLocks noChangeArrowheads="1"/>
        </xdr:cNvSpPr>
      </xdr:nvSpPr>
      <xdr:spPr bwMode="auto">
        <a:xfrm>
          <a:off x="2766060" y="18669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40" name="Text Box 249">
          <a:extLst>
            <a:ext uri="{FF2B5EF4-FFF2-40B4-BE49-F238E27FC236}">
              <a16:creationId xmlns:a16="http://schemas.microsoft.com/office/drawing/2014/main" id="{2E35F38E-5D52-4A82-B8E5-5E27F87ED07C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41" name="Text Box 249">
          <a:extLst>
            <a:ext uri="{FF2B5EF4-FFF2-40B4-BE49-F238E27FC236}">
              <a16:creationId xmlns:a16="http://schemas.microsoft.com/office/drawing/2014/main" id="{818A86B5-9A72-49B6-8E4B-EE2C0E3B312B}"/>
            </a:ext>
          </a:extLst>
        </xdr:cNvPr>
        <xdr:cNvSpPr txBox="1">
          <a:spLocks noChangeArrowheads="1"/>
        </xdr:cNvSpPr>
      </xdr:nvSpPr>
      <xdr:spPr bwMode="auto">
        <a:xfrm>
          <a:off x="3553460" y="18669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42" name="Text Box 249">
          <a:extLst>
            <a:ext uri="{FF2B5EF4-FFF2-40B4-BE49-F238E27FC236}">
              <a16:creationId xmlns:a16="http://schemas.microsoft.com/office/drawing/2014/main" id="{636C8FF6-8AF3-4BFE-BE27-309A9CD87717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43" name="Text Box 249">
          <a:extLst>
            <a:ext uri="{FF2B5EF4-FFF2-40B4-BE49-F238E27FC236}">
              <a16:creationId xmlns:a16="http://schemas.microsoft.com/office/drawing/2014/main" id="{8B785A71-825D-4E48-AAC9-DCB0C2CC16FD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44" name="Text Box 249">
          <a:extLst>
            <a:ext uri="{FF2B5EF4-FFF2-40B4-BE49-F238E27FC236}">
              <a16:creationId xmlns:a16="http://schemas.microsoft.com/office/drawing/2014/main" id="{4AF227E7-F03E-40A3-8F0A-BF8CE9F90DBA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45" name="Text Box 249">
          <a:extLst>
            <a:ext uri="{FF2B5EF4-FFF2-40B4-BE49-F238E27FC236}">
              <a16:creationId xmlns:a16="http://schemas.microsoft.com/office/drawing/2014/main" id="{1DD61645-93DB-4F9C-ADFF-7E3E5C042734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46" name="Text Box 249">
          <a:extLst>
            <a:ext uri="{FF2B5EF4-FFF2-40B4-BE49-F238E27FC236}">
              <a16:creationId xmlns:a16="http://schemas.microsoft.com/office/drawing/2014/main" id="{53E3A1A9-C0CD-4C9E-82D0-04C76CC714BE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47" name="Text Box 249">
          <a:extLst>
            <a:ext uri="{FF2B5EF4-FFF2-40B4-BE49-F238E27FC236}">
              <a16:creationId xmlns:a16="http://schemas.microsoft.com/office/drawing/2014/main" id="{CA091F9A-B8D4-466C-B937-807D90F5AD38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48" name="Text Box 249">
          <a:extLst>
            <a:ext uri="{FF2B5EF4-FFF2-40B4-BE49-F238E27FC236}">
              <a16:creationId xmlns:a16="http://schemas.microsoft.com/office/drawing/2014/main" id="{0E0D60E9-0F69-4411-91EC-BB25A2E6A98C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49" name="Text Box 249">
          <a:extLst>
            <a:ext uri="{FF2B5EF4-FFF2-40B4-BE49-F238E27FC236}">
              <a16:creationId xmlns:a16="http://schemas.microsoft.com/office/drawing/2014/main" id="{17B18F6A-549F-453A-BAA0-D1DF96571F4E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50" name="Text Box 249">
          <a:extLst>
            <a:ext uri="{FF2B5EF4-FFF2-40B4-BE49-F238E27FC236}">
              <a16:creationId xmlns:a16="http://schemas.microsoft.com/office/drawing/2014/main" id="{F564992C-99EC-478F-8B97-2E59908D729A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51" name="Text Box 249">
          <a:extLst>
            <a:ext uri="{FF2B5EF4-FFF2-40B4-BE49-F238E27FC236}">
              <a16:creationId xmlns:a16="http://schemas.microsoft.com/office/drawing/2014/main" id="{6BDF6A88-6A95-465D-A70F-8282864C012C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52" name="Text Box 249">
          <a:extLst>
            <a:ext uri="{FF2B5EF4-FFF2-40B4-BE49-F238E27FC236}">
              <a16:creationId xmlns:a16="http://schemas.microsoft.com/office/drawing/2014/main" id="{4FFCD168-44F9-4522-9930-597E636961D3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53" name="Text Box 249">
          <a:extLst>
            <a:ext uri="{FF2B5EF4-FFF2-40B4-BE49-F238E27FC236}">
              <a16:creationId xmlns:a16="http://schemas.microsoft.com/office/drawing/2014/main" id="{B4B8EB97-AEC4-4BBA-9A50-E8B0537C7A85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54" name="Text Box 249">
          <a:extLst>
            <a:ext uri="{FF2B5EF4-FFF2-40B4-BE49-F238E27FC236}">
              <a16:creationId xmlns:a16="http://schemas.microsoft.com/office/drawing/2014/main" id="{8F66A045-A10C-4B1C-B23B-91E3E7E19E15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55" name="Text Box 249">
          <a:extLst>
            <a:ext uri="{FF2B5EF4-FFF2-40B4-BE49-F238E27FC236}">
              <a16:creationId xmlns:a16="http://schemas.microsoft.com/office/drawing/2014/main" id="{3F33B785-F0D1-477F-BC8C-F38A9429F745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56" name="Text Box 249">
          <a:extLst>
            <a:ext uri="{FF2B5EF4-FFF2-40B4-BE49-F238E27FC236}">
              <a16:creationId xmlns:a16="http://schemas.microsoft.com/office/drawing/2014/main" id="{B7A356B5-B3CE-47AD-A44D-7EFE93A8BE09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57" name="Text Box 249">
          <a:extLst>
            <a:ext uri="{FF2B5EF4-FFF2-40B4-BE49-F238E27FC236}">
              <a16:creationId xmlns:a16="http://schemas.microsoft.com/office/drawing/2014/main" id="{8AA665D9-330D-417D-9668-DA0678BD27E7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58" name="Text Box 249">
          <a:extLst>
            <a:ext uri="{FF2B5EF4-FFF2-40B4-BE49-F238E27FC236}">
              <a16:creationId xmlns:a16="http://schemas.microsoft.com/office/drawing/2014/main" id="{11D9806F-B5D6-4EE5-B6FD-427DEEB82975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59" name="Text Box 249">
          <a:extLst>
            <a:ext uri="{FF2B5EF4-FFF2-40B4-BE49-F238E27FC236}">
              <a16:creationId xmlns:a16="http://schemas.microsoft.com/office/drawing/2014/main" id="{2A392E5F-A28F-4604-8BCB-C8ACB0595D6D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60" name="Text Box 249">
          <a:extLst>
            <a:ext uri="{FF2B5EF4-FFF2-40B4-BE49-F238E27FC236}">
              <a16:creationId xmlns:a16="http://schemas.microsoft.com/office/drawing/2014/main" id="{815A46EA-9F3E-4B48-84C1-0C1EC2576123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61" name="Text Box 249">
          <a:extLst>
            <a:ext uri="{FF2B5EF4-FFF2-40B4-BE49-F238E27FC236}">
              <a16:creationId xmlns:a16="http://schemas.microsoft.com/office/drawing/2014/main" id="{291D740D-842B-460B-B8D8-B0D61CDB9A34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62" name="Text Box 249">
          <a:extLst>
            <a:ext uri="{FF2B5EF4-FFF2-40B4-BE49-F238E27FC236}">
              <a16:creationId xmlns:a16="http://schemas.microsoft.com/office/drawing/2014/main" id="{695C3AEC-ABAC-4C86-961D-6AA1078E2CC3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63" name="Text Box 249">
          <a:extLst>
            <a:ext uri="{FF2B5EF4-FFF2-40B4-BE49-F238E27FC236}">
              <a16:creationId xmlns:a16="http://schemas.microsoft.com/office/drawing/2014/main" id="{AA89779D-5CDB-4981-886D-7A1CB0D51E09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64" name="Text Box 249">
          <a:extLst>
            <a:ext uri="{FF2B5EF4-FFF2-40B4-BE49-F238E27FC236}">
              <a16:creationId xmlns:a16="http://schemas.microsoft.com/office/drawing/2014/main" id="{451C0790-09BE-4334-9361-CC81153AF727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65" name="Text Box 249">
          <a:extLst>
            <a:ext uri="{FF2B5EF4-FFF2-40B4-BE49-F238E27FC236}">
              <a16:creationId xmlns:a16="http://schemas.microsoft.com/office/drawing/2014/main" id="{1DF35A4A-7FCF-4CE7-9C18-3686152E735F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66" name="Text Box 249">
          <a:extLst>
            <a:ext uri="{FF2B5EF4-FFF2-40B4-BE49-F238E27FC236}">
              <a16:creationId xmlns:a16="http://schemas.microsoft.com/office/drawing/2014/main" id="{DD1FAFB1-3E43-4711-806E-806407EF3219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67" name="Text Box 249">
          <a:extLst>
            <a:ext uri="{FF2B5EF4-FFF2-40B4-BE49-F238E27FC236}">
              <a16:creationId xmlns:a16="http://schemas.microsoft.com/office/drawing/2014/main" id="{F08E583B-0EB1-470A-BAC9-EEF046E4DC4D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68" name="Text Box 249">
          <a:extLst>
            <a:ext uri="{FF2B5EF4-FFF2-40B4-BE49-F238E27FC236}">
              <a16:creationId xmlns:a16="http://schemas.microsoft.com/office/drawing/2014/main" id="{EFAB18A8-712D-4864-B11E-A84078E4A05A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69" name="Text Box 249">
          <a:extLst>
            <a:ext uri="{FF2B5EF4-FFF2-40B4-BE49-F238E27FC236}">
              <a16:creationId xmlns:a16="http://schemas.microsoft.com/office/drawing/2014/main" id="{70082120-7468-486A-A6B4-B7E94DF0503D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70" name="Text Box 249">
          <a:extLst>
            <a:ext uri="{FF2B5EF4-FFF2-40B4-BE49-F238E27FC236}">
              <a16:creationId xmlns:a16="http://schemas.microsoft.com/office/drawing/2014/main" id="{90A97E0F-7944-40BA-AF81-5C6556DA2D9E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142</xdr:row>
      <xdr:rowOff>0</xdr:rowOff>
    </xdr:from>
    <xdr:ext cx="104775" cy="208801"/>
    <xdr:sp macro="" textlink="">
      <xdr:nvSpPr>
        <xdr:cNvPr id="571" name="Text Box 249">
          <a:extLst>
            <a:ext uri="{FF2B5EF4-FFF2-40B4-BE49-F238E27FC236}">
              <a16:creationId xmlns:a16="http://schemas.microsoft.com/office/drawing/2014/main" id="{F13BD278-56A6-4B8F-8A16-8E5D5C4208E1}"/>
            </a:ext>
          </a:extLst>
        </xdr:cNvPr>
        <xdr:cNvSpPr txBox="1">
          <a:spLocks noChangeArrowheads="1"/>
        </xdr:cNvSpPr>
      </xdr:nvSpPr>
      <xdr:spPr bwMode="auto">
        <a:xfrm>
          <a:off x="320802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72" name="Text Box 249">
          <a:extLst>
            <a:ext uri="{FF2B5EF4-FFF2-40B4-BE49-F238E27FC236}">
              <a16:creationId xmlns:a16="http://schemas.microsoft.com/office/drawing/2014/main" id="{81436131-993C-4EA0-A3F8-C57979975750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73" name="Text Box 249">
          <a:extLst>
            <a:ext uri="{FF2B5EF4-FFF2-40B4-BE49-F238E27FC236}">
              <a16:creationId xmlns:a16="http://schemas.microsoft.com/office/drawing/2014/main" id="{27C1534C-F91E-49AE-B3AE-A1546F37FA96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74" name="Text Box 249">
          <a:extLst>
            <a:ext uri="{FF2B5EF4-FFF2-40B4-BE49-F238E27FC236}">
              <a16:creationId xmlns:a16="http://schemas.microsoft.com/office/drawing/2014/main" id="{DBDFC8A0-514A-43E0-842A-7179C765ECCE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75" name="Text Box 249">
          <a:extLst>
            <a:ext uri="{FF2B5EF4-FFF2-40B4-BE49-F238E27FC236}">
              <a16:creationId xmlns:a16="http://schemas.microsoft.com/office/drawing/2014/main" id="{0432D34D-769C-4A52-ABB8-3EA7A51A1ECD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76" name="Text Box 249">
          <a:extLst>
            <a:ext uri="{FF2B5EF4-FFF2-40B4-BE49-F238E27FC236}">
              <a16:creationId xmlns:a16="http://schemas.microsoft.com/office/drawing/2014/main" id="{25A39249-EB74-4FB8-A69A-B63884D7CA64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77" name="Text Box 249">
          <a:extLst>
            <a:ext uri="{FF2B5EF4-FFF2-40B4-BE49-F238E27FC236}">
              <a16:creationId xmlns:a16="http://schemas.microsoft.com/office/drawing/2014/main" id="{EE062E0D-23EB-4BC7-B4D9-E967A8ADB25A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78" name="Text Box 249">
          <a:extLst>
            <a:ext uri="{FF2B5EF4-FFF2-40B4-BE49-F238E27FC236}">
              <a16:creationId xmlns:a16="http://schemas.microsoft.com/office/drawing/2014/main" id="{D62E12E4-E1DC-46BC-B03A-F65D3A96F791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142</xdr:row>
      <xdr:rowOff>0</xdr:rowOff>
    </xdr:from>
    <xdr:ext cx="104775" cy="208801"/>
    <xdr:sp macro="" textlink="">
      <xdr:nvSpPr>
        <xdr:cNvPr id="579" name="Text Box 249">
          <a:extLst>
            <a:ext uri="{FF2B5EF4-FFF2-40B4-BE49-F238E27FC236}">
              <a16:creationId xmlns:a16="http://schemas.microsoft.com/office/drawing/2014/main" id="{908BA2FF-1BEC-4A0F-98C6-1577C4B9D9D5}"/>
            </a:ext>
          </a:extLst>
        </xdr:cNvPr>
        <xdr:cNvSpPr txBox="1">
          <a:spLocks noChangeArrowheads="1"/>
        </xdr:cNvSpPr>
      </xdr:nvSpPr>
      <xdr:spPr bwMode="auto">
        <a:xfrm>
          <a:off x="320802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80" name="Text Box 249">
          <a:extLst>
            <a:ext uri="{FF2B5EF4-FFF2-40B4-BE49-F238E27FC236}">
              <a16:creationId xmlns:a16="http://schemas.microsoft.com/office/drawing/2014/main" id="{27780E2E-0DAD-4F25-8C17-842992A2EFFA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81" name="Text Box 249">
          <a:extLst>
            <a:ext uri="{FF2B5EF4-FFF2-40B4-BE49-F238E27FC236}">
              <a16:creationId xmlns:a16="http://schemas.microsoft.com/office/drawing/2014/main" id="{5B019819-F035-4DAF-8F45-E4CE2A68C691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82" name="Text Box 249">
          <a:extLst>
            <a:ext uri="{FF2B5EF4-FFF2-40B4-BE49-F238E27FC236}">
              <a16:creationId xmlns:a16="http://schemas.microsoft.com/office/drawing/2014/main" id="{6453DB3E-AC06-407C-87C6-2D6A45B69642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83" name="Text Box 249">
          <a:extLst>
            <a:ext uri="{FF2B5EF4-FFF2-40B4-BE49-F238E27FC236}">
              <a16:creationId xmlns:a16="http://schemas.microsoft.com/office/drawing/2014/main" id="{6457838D-307B-46FD-BD1E-8469251B9D0E}"/>
            </a:ext>
          </a:extLst>
        </xdr:cNvPr>
        <xdr:cNvSpPr txBox="1">
          <a:spLocks noChangeArrowheads="1"/>
        </xdr:cNvSpPr>
      </xdr:nvSpPr>
      <xdr:spPr bwMode="auto">
        <a:xfrm>
          <a:off x="2766060" y="18859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84" name="Text Box 249">
          <a:extLst>
            <a:ext uri="{FF2B5EF4-FFF2-40B4-BE49-F238E27FC236}">
              <a16:creationId xmlns:a16="http://schemas.microsoft.com/office/drawing/2014/main" id="{CF6D57BF-6E95-45FE-8639-0DB4B665AAF9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85" name="Text Box 249">
          <a:extLst>
            <a:ext uri="{FF2B5EF4-FFF2-40B4-BE49-F238E27FC236}">
              <a16:creationId xmlns:a16="http://schemas.microsoft.com/office/drawing/2014/main" id="{FBDCA7B8-D6AA-4FB7-8565-74920E8CE2F6}"/>
            </a:ext>
          </a:extLst>
        </xdr:cNvPr>
        <xdr:cNvSpPr txBox="1">
          <a:spLocks noChangeArrowheads="1"/>
        </xdr:cNvSpPr>
      </xdr:nvSpPr>
      <xdr:spPr bwMode="auto">
        <a:xfrm>
          <a:off x="3553460" y="18859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86" name="Text Box 249">
          <a:extLst>
            <a:ext uri="{FF2B5EF4-FFF2-40B4-BE49-F238E27FC236}">
              <a16:creationId xmlns:a16="http://schemas.microsoft.com/office/drawing/2014/main" id="{D483205C-B360-4921-B5AD-BE40AA923B75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87" name="Text Box 249">
          <a:extLst>
            <a:ext uri="{FF2B5EF4-FFF2-40B4-BE49-F238E27FC236}">
              <a16:creationId xmlns:a16="http://schemas.microsoft.com/office/drawing/2014/main" id="{0970BB3F-046C-4AF2-9724-31DD0FC06D32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88" name="Text Box 249">
          <a:extLst>
            <a:ext uri="{FF2B5EF4-FFF2-40B4-BE49-F238E27FC236}">
              <a16:creationId xmlns:a16="http://schemas.microsoft.com/office/drawing/2014/main" id="{FC744300-6F8E-40AA-8EA3-5D19EEF43197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89" name="Text Box 249">
          <a:extLst>
            <a:ext uri="{FF2B5EF4-FFF2-40B4-BE49-F238E27FC236}">
              <a16:creationId xmlns:a16="http://schemas.microsoft.com/office/drawing/2014/main" id="{72686EC3-AED0-41D9-AFBB-7F7AE17C2A17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90" name="Text Box 249">
          <a:extLst>
            <a:ext uri="{FF2B5EF4-FFF2-40B4-BE49-F238E27FC236}">
              <a16:creationId xmlns:a16="http://schemas.microsoft.com/office/drawing/2014/main" id="{F3046D48-1236-4F41-BEA9-5E3DB2BE105F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91" name="Text Box 249">
          <a:extLst>
            <a:ext uri="{FF2B5EF4-FFF2-40B4-BE49-F238E27FC236}">
              <a16:creationId xmlns:a16="http://schemas.microsoft.com/office/drawing/2014/main" id="{75C1223F-ADC6-46E5-A23F-279C1528798A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92" name="Text Box 249">
          <a:extLst>
            <a:ext uri="{FF2B5EF4-FFF2-40B4-BE49-F238E27FC236}">
              <a16:creationId xmlns:a16="http://schemas.microsoft.com/office/drawing/2014/main" id="{BC1ADCEF-F1BD-4673-B409-02C094FE07FF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93" name="Text Box 249">
          <a:extLst>
            <a:ext uri="{FF2B5EF4-FFF2-40B4-BE49-F238E27FC236}">
              <a16:creationId xmlns:a16="http://schemas.microsoft.com/office/drawing/2014/main" id="{CA476AF7-AE83-433A-88A0-A9C047CDF317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94" name="Text Box 249">
          <a:extLst>
            <a:ext uri="{FF2B5EF4-FFF2-40B4-BE49-F238E27FC236}">
              <a16:creationId xmlns:a16="http://schemas.microsoft.com/office/drawing/2014/main" id="{F82E5226-AE34-403E-BD36-CA508150A1A2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595" name="Text Box 249">
          <a:extLst>
            <a:ext uri="{FF2B5EF4-FFF2-40B4-BE49-F238E27FC236}">
              <a16:creationId xmlns:a16="http://schemas.microsoft.com/office/drawing/2014/main" id="{27499702-6654-4E45-B7C2-6DB5A0E55C50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596" name="Text Box 249">
          <a:extLst>
            <a:ext uri="{FF2B5EF4-FFF2-40B4-BE49-F238E27FC236}">
              <a16:creationId xmlns:a16="http://schemas.microsoft.com/office/drawing/2014/main" id="{9D725975-2700-4112-9042-CA99E08E5C78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597" name="Text Box 249">
          <a:extLst>
            <a:ext uri="{FF2B5EF4-FFF2-40B4-BE49-F238E27FC236}">
              <a16:creationId xmlns:a16="http://schemas.microsoft.com/office/drawing/2014/main" id="{23B2AC3F-F4F1-4F56-9CDB-359BC13EA47C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598" name="Text Box 249">
          <a:extLst>
            <a:ext uri="{FF2B5EF4-FFF2-40B4-BE49-F238E27FC236}">
              <a16:creationId xmlns:a16="http://schemas.microsoft.com/office/drawing/2014/main" id="{A3EB46FC-4675-4AD7-A26E-6E817AA8B920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599" name="Text Box 249">
          <a:extLst>
            <a:ext uri="{FF2B5EF4-FFF2-40B4-BE49-F238E27FC236}">
              <a16:creationId xmlns:a16="http://schemas.microsoft.com/office/drawing/2014/main" id="{981825E3-DE23-426B-9EA1-A81DD48D876E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00" name="Text Box 249">
          <a:extLst>
            <a:ext uri="{FF2B5EF4-FFF2-40B4-BE49-F238E27FC236}">
              <a16:creationId xmlns:a16="http://schemas.microsoft.com/office/drawing/2014/main" id="{7EFC9552-5B6A-4711-A915-84D6840B3962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01" name="Text Box 249">
          <a:extLst>
            <a:ext uri="{FF2B5EF4-FFF2-40B4-BE49-F238E27FC236}">
              <a16:creationId xmlns:a16="http://schemas.microsoft.com/office/drawing/2014/main" id="{63FD854A-F6CE-4960-BA3F-72A04191C097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602" name="Text Box 249">
          <a:extLst>
            <a:ext uri="{FF2B5EF4-FFF2-40B4-BE49-F238E27FC236}">
              <a16:creationId xmlns:a16="http://schemas.microsoft.com/office/drawing/2014/main" id="{343A9DCA-D205-490A-A0D7-22BF82DDE6F0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603" name="Text Box 249">
          <a:extLst>
            <a:ext uri="{FF2B5EF4-FFF2-40B4-BE49-F238E27FC236}">
              <a16:creationId xmlns:a16="http://schemas.microsoft.com/office/drawing/2014/main" id="{382DDE6D-30D9-42F6-BC8B-E817953E1750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04" name="Text Box 249">
          <a:extLst>
            <a:ext uri="{FF2B5EF4-FFF2-40B4-BE49-F238E27FC236}">
              <a16:creationId xmlns:a16="http://schemas.microsoft.com/office/drawing/2014/main" id="{7C0AE8C4-0764-4A75-A35A-FB2FE6DC37E0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605" name="Text Box 249">
          <a:extLst>
            <a:ext uri="{FF2B5EF4-FFF2-40B4-BE49-F238E27FC236}">
              <a16:creationId xmlns:a16="http://schemas.microsoft.com/office/drawing/2014/main" id="{0670103A-03D8-4E31-ACCB-D77EF16C5CC2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606" name="Text Box 249">
          <a:extLst>
            <a:ext uri="{FF2B5EF4-FFF2-40B4-BE49-F238E27FC236}">
              <a16:creationId xmlns:a16="http://schemas.microsoft.com/office/drawing/2014/main" id="{5605B946-3B58-4484-89DC-796334D08795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07" name="Text Box 249">
          <a:extLst>
            <a:ext uri="{FF2B5EF4-FFF2-40B4-BE49-F238E27FC236}">
              <a16:creationId xmlns:a16="http://schemas.microsoft.com/office/drawing/2014/main" id="{A49A52FB-1F82-4C9B-B052-A835F2476B57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08" name="Text Box 249">
          <a:extLst>
            <a:ext uri="{FF2B5EF4-FFF2-40B4-BE49-F238E27FC236}">
              <a16:creationId xmlns:a16="http://schemas.microsoft.com/office/drawing/2014/main" id="{B3B6C105-B7CE-4DF4-A663-4759B7BE9FDC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609" name="Text Box 249">
          <a:extLst>
            <a:ext uri="{FF2B5EF4-FFF2-40B4-BE49-F238E27FC236}">
              <a16:creationId xmlns:a16="http://schemas.microsoft.com/office/drawing/2014/main" id="{A8FA164A-8119-4EBB-BF07-DF94EFD530E8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610" name="Text Box 249">
          <a:extLst>
            <a:ext uri="{FF2B5EF4-FFF2-40B4-BE49-F238E27FC236}">
              <a16:creationId xmlns:a16="http://schemas.microsoft.com/office/drawing/2014/main" id="{E8B19AB4-7F25-4C64-BD3F-00ECA93943CC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11" name="Text Box 249">
          <a:extLst>
            <a:ext uri="{FF2B5EF4-FFF2-40B4-BE49-F238E27FC236}">
              <a16:creationId xmlns:a16="http://schemas.microsoft.com/office/drawing/2014/main" id="{7254D313-4EF1-49C3-8550-17AEDBEB158D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612" name="Text Box 249">
          <a:extLst>
            <a:ext uri="{FF2B5EF4-FFF2-40B4-BE49-F238E27FC236}">
              <a16:creationId xmlns:a16="http://schemas.microsoft.com/office/drawing/2014/main" id="{45FB3EFB-5C91-460F-81B4-08EE5A5638E0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613" name="Text Box 249">
          <a:extLst>
            <a:ext uri="{FF2B5EF4-FFF2-40B4-BE49-F238E27FC236}">
              <a16:creationId xmlns:a16="http://schemas.microsoft.com/office/drawing/2014/main" id="{315699B2-D7F8-428B-953E-673657784B81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14" name="Text Box 249">
          <a:extLst>
            <a:ext uri="{FF2B5EF4-FFF2-40B4-BE49-F238E27FC236}">
              <a16:creationId xmlns:a16="http://schemas.microsoft.com/office/drawing/2014/main" id="{2180BAC6-0BF8-46E8-93C4-85074332FD8A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142</xdr:row>
      <xdr:rowOff>0</xdr:rowOff>
    </xdr:from>
    <xdr:ext cx="104775" cy="208801"/>
    <xdr:sp macro="" textlink="">
      <xdr:nvSpPr>
        <xdr:cNvPr id="615" name="Text Box 249">
          <a:extLst>
            <a:ext uri="{FF2B5EF4-FFF2-40B4-BE49-F238E27FC236}">
              <a16:creationId xmlns:a16="http://schemas.microsoft.com/office/drawing/2014/main" id="{76A5DA5B-C38A-45DB-9FB8-49256A1DF868}"/>
            </a:ext>
          </a:extLst>
        </xdr:cNvPr>
        <xdr:cNvSpPr txBox="1">
          <a:spLocks noChangeArrowheads="1"/>
        </xdr:cNvSpPr>
      </xdr:nvSpPr>
      <xdr:spPr bwMode="auto">
        <a:xfrm>
          <a:off x="320802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16" name="Text Box 249">
          <a:extLst>
            <a:ext uri="{FF2B5EF4-FFF2-40B4-BE49-F238E27FC236}">
              <a16:creationId xmlns:a16="http://schemas.microsoft.com/office/drawing/2014/main" id="{C3D7E0E8-380D-4745-883E-A8CCA1DDE1C8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617" name="Text Box 249">
          <a:extLst>
            <a:ext uri="{FF2B5EF4-FFF2-40B4-BE49-F238E27FC236}">
              <a16:creationId xmlns:a16="http://schemas.microsoft.com/office/drawing/2014/main" id="{3E8EE611-12A1-454C-9B4F-9370A853CCA3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618" name="Text Box 249">
          <a:extLst>
            <a:ext uri="{FF2B5EF4-FFF2-40B4-BE49-F238E27FC236}">
              <a16:creationId xmlns:a16="http://schemas.microsoft.com/office/drawing/2014/main" id="{22E88B93-3AEE-415C-8536-4D40C5D3EBD6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19" name="Text Box 249">
          <a:extLst>
            <a:ext uri="{FF2B5EF4-FFF2-40B4-BE49-F238E27FC236}">
              <a16:creationId xmlns:a16="http://schemas.microsoft.com/office/drawing/2014/main" id="{03B8A43B-3BDE-4943-8175-6622ACF8F1FF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620" name="Text Box 249">
          <a:extLst>
            <a:ext uri="{FF2B5EF4-FFF2-40B4-BE49-F238E27FC236}">
              <a16:creationId xmlns:a16="http://schemas.microsoft.com/office/drawing/2014/main" id="{2E15F782-2D98-4789-9FB3-EC427535E1A2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621" name="Text Box 249">
          <a:extLst>
            <a:ext uri="{FF2B5EF4-FFF2-40B4-BE49-F238E27FC236}">
              <a16:creationId xmlns:a16="http://schemas.microsoft.com/office/drawing/2014/main" id="{6BF695BC-AAAE-4511-B107-FDDA96E8F340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22" name="Text Box 249">
          <a:extLst>
            <a:ext uri="{FF2B5EF4-FFF2-40B4-BE49-F238E27FC236}">
              <a16:creationId xmlns:a16="http://schemas.microsoft.com/office/drawing/2014/main" id="{56DE3976-D3A7-42B6-8384-A223E5C237CD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142</xdr:row>
      <xdr:rowOff>0</xdr:rowOff>
    </xdr:from>
    <xdr:ext cx="104775" cy="208801"/>
    <xdr:sp macro="" textlink="">
      <xdr:nvSpPr>
        <xdr:cNvPr id="623" name="Text Box 249">
          <a:extLst>
            <a:ext uri="{FF2B5EF4-FFF2-40B4-BE49-F238E27FC236}">
              <a16:creationId xmlns:a16="http://schemas.microsoft.com/office/drawing/2014/main" id="{6F58F7F8-F9D5-4766-81E5-08368EAFD482}"/>
            </a:ext>
          </a:extLst>
        </xdr:cNvPr>
        <xdr:cNvSpPr txBox="1">
          <a:spLocks noChangeArrowheads="1"/>
        </xdr:cNvSpPr>
      </xdr:nvSpPr>
      <xdr:spPr bwMode="auto">
        <a:xfrm>
          <a:off x="320802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24" name="Text Box 249">
          <a:extLst>
            <a:ext uri="{FF2B5EF4-FFF2-40B4-BE49-F238E27FC236}">
              <a16:creationId xmlns:a16="http://schemas.microsoft.com/office/drawing/2014/main" id="{618D3D24-3B0A-4D4F-93BA-9CD4A4CB9108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08801"/>
    <xdr:sp macro="" textlink="">
      <xdr:nvSpPr>
        <xdr:cNvPr id="625" name="Text Box 249">
          <a:extLst>
            <a:ext uri="{FF2B5EF4-FFF2-40B4-BE49-F238E27FC236}">
              <a16:creationId xmlns:a16="http://schemas.microsoft.com/office/drawing/2014/main" id="{C9E8AD79-0BEA-4311-8715-3573E1BB4132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3036"/>
    <xdr:sp macro="" textlink="">
      <xdr:nvSpPr>
        <xdr:cNvPr id="626" name="Text Box 249">
          <a:extLst>
            <a:ext uri="{FF2B5EF4-FFF2-40B4-BE49-F238E27FC236}">
              <a16:creationId xmlns:a16="http://schemas.microsoft.com/office/drawing/2014/main" id="{B83BD080-7B0F-48C3-9E56-5FBDB7BA46B1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142</xdr:row>
      <xdr:rowOff>0</xdr:rowOff>
    </xdr:from>
    <xdr:ext cx="104775" cy="208801"/>
    <xdr:sp macro="" textlink="">
      <xdr:nvSpPr>
        <xdr:cNvPr id="627" name="Text Box 249">
          <a:extLst>
            <a:ext uri="{FF2B5EF4-FFF2-40B4-BE49-F238E27FC236}">
              <a16:creationId xmlns:a16="http://schemas.microsoft.com/office/drawing/2014/main" id="{9B18EF7F-134E-4DB6-B620-981F17C6A2D9}"/>
            </a:ext>
          </a:extLst>
        </xdr:cNvPr>
        <xdr:cNvSpPr txBox="1">
          <a:spLocks noChangeArrowheads="1"/>
        </xdr:cNvSpPr>
      </xdr:nvSpPr>
      <xdr:spPr bwMode="auto">
        <a:xfrm>
          <a:off x="2766060" y="19431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04775" cy="210011"/>
    <xdr:sp macro="" textlink="">
      <xdr:nvSpPr>
        <xdr:cNvPr id="628" name="Text Box 249">
          <a:extLst>
            <a:ext uri="{FF2B5EF4-FFF2-40B4-BE49-F238E27FC236}">
              <a16:creationId xmlns:a16="http://schemas.microsoft.com/office/drawing/2014/main" id="{DF741907-06D0-426D-B135-E4E1D79BF204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142</xdr:row>
      <xdr:rowOff>0</xdr:rowOff>
    </xdr:from>
    <xdr:ext cx="120015" cy="226369"/>
    <xdr:sp macro="" textlink="">
      <xdr:nvSpPr>
        <xdr:cNvPr id="629" name="Text Box 249">
          <a:extLst>
            <a:ext uri="{FF2B5EF4-FFF2-40B4-BE49-F238E27FC236}">
              <a16:creationId xmlns:a16="http://schemas.microsoft.com/office/drawing/2014/main" id="{88B170D2-3ED1-492F-867F-C873AD63DD61}"/>
            </a:ext>
          </a:extLst>
        </xdr:cNvPr>
        <xdr:cNvSpPr txBox="1">
          <a:spLocks noChangeArrowheads="1"/>
        </xdr:cNvSpPr>
      </xdr:nvSpPr>
      <xdr:spPr bwMode="auto">
        <a:xfrm>
          <a:off x="3553460" y="19431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30" name="Text Box 249">
          <a:extLst>
            <a:ext uri="{FF2B5EF4-FFF2-40B4-BE49-F238E27FC236}">
              <a16:creationId xmlns:a16="http://schemas.microsoft.com/office/drawing/2014/main" id="{0F08C71E-EBF1-4BB5-BBB0-E2E9319AB3EE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31" name="Text Box 249">
          <a:extLst>
            <a:ext uri="{FF2B5EF4-FFF2-40B4-BE49-F238E27FC236}">
              <a16:creationId xmlns:a16="http://schemas.microsoft.com/office/drawing/2014/main" id="{E99065DB-DFF2-42AC-A29B-91182CC03B35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632" name="Text Box 249">
          <a:extLst>
            <a:ext uri="{FF2B5EF4-FFF2-40B4-BE49-F238E27FC236}">
              <a16:creationId xmlns:a16="http://schemas.microsoft.com/office/drawing/2014/main" id="{501A1E0D-29A1-425D-85F1-5E1DB802E3BD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633" name="Text Box 249">
          <a:extLst>
            <a:ext uri="{FF2B5EF4-FFF2-40B4-BE49-F238E27FC236}">
              <a16:creationId xmlns:a16="http://schemas.microsoft.com/office/drawing/2014/main" id="{52D62128-CD2A-41CA-B2B9-39AFDCAE1070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34" name="Text Box 249">
          <a:extLst>
            <a:ext uri="{FF2B5EF4-FFF2-40B4-BE49-F238E27FC236}">
              <a16:creationId xmlns:a16="http://schemas.microsoft.com/office/drawing/2014/main" id="{210A65A5-007E-457A-AAB2-7294E40778B1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635" name="Text Box 249">
          <a:extLst>
            <a:ext uri="{FF2B5EF4-FFF2-40B4-BE49-F238E27FC236}">
              <a16:creationId xmlns:a16="http://schemas.microsoft.com/office/drawing/2014/main" id="{5B474B9A-ECEF-4F9D-BE99-8AB0EAE7901F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636" name="Text Box 249">
          <a:extLst>
            <a:ext uri="{FF2B5EF4-FFF2-40B4-BE49-F238E27FC236}">
              <a16:creationId xmlns:a16="http://schemas.microsoft.com/office/drawing/2014/main" id="{823096A7-C289-4268-BD62-9CF21919B7A1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37" name="Text Box 249">
          <a:extLst>
            <a:ext uri="{FF2B5EF4-FFF2-40B4-BE49-F238E27FC236}">
              <a16:creationId xmlns:a16="http://schemas.microsoft.com/office/drawing/2014/main" id="{777E6836-180D-40D5-9A37-5BA98C16D8EB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38" name="Text Box 249">
          <a:extLst>
            <a:ext uri="{FF2B5EF4-FFF2-40B4-BE49-F238E27FC236}">
              <a16:creationId xmlns:a16="http://schemas.microsoft.com/office/drawing/2014/main" id="{45589D2A-9EC7-4639-BFAE-156A202E200D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639" name="Text Box 249">
          <a:extLst>
            <a:ext uri="{FF2B5EF4-FFF2-40B4-BE49-F238E27FC236}">
              <a16:creationId xmlns:a16="http://schemas.microsoft.com/office/drawing/2014/main" id="{A1A3AC53-198F-4736-93DA-FF59D9B22F86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640" name="Text Box 249">
          <a:extLst>
            <a:ext uri="{FF2B5EF4-FFF2-40B4-BE49-F238E27FC236}">
              <a16:creationId xmlns:a16="http://schemas.microsoft.com/office/drawing/2014/main" id="{B5D03EC2-7E82-4402-9DC6-579B640D6A77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41" name="Text Box 249">
          <a:extLst>
            <a:ext uri="{FF2B5EF4-FFF2-40B4-BE49-F238E27FC236}">
              <a16:creationId xmlns:a16="http://schemas.microsoft.com/office/drawing/2014/main" id="{B0CD4B87-0C5D-4EB6-849A-498E3FB85965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642" name="Text Box 249">
          <a:extLst>
            <a:ext uri="{FF2B5EF4-FFF2-40B4-BE49-F238E27FC236}">
              <a16:creationId xmlns:a16="http://schemas.microsoft.com/office/drawing/2014/main" id="{74463DD0-C586-44A4-823F-416A75F010E5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643" name="Text Box 249">
          <a:extLst>
            <a:ext uri="{FF2B5EF4-FFF2-40B4-BE49-F238E27FC236}">
              <a16:creationId xmlns:a16="http://schemas.microsoft.com/office/drawing/2014/main" id="{5329779F-E9EA-4616-A2B6-2CC3E485FB4B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44" name="Text Box 249">
          <a:extLst>
            <a:ext uri="{FF2B5EF4-FFF2-40B4-BE49-F238E27FC236}">
              <a16:creationId xmlns:a16="http://schemas.microsoft.com/office/drawing/2014/main" id="{6E0DBC0A-7EF4-409B-BB79-6C6B0F44A4F8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45" name="Text Box 249">
          <a:extLst>
            <a:ext uri="{FF2B5EF4-FFF2-40B4-BE49-F238E27FC236}">
              <a16:creationId xmlns:a16="http://schemas.microsoft.com/office/drawing/2014/main" id="{570D8387-FB74-46D5-9424-BA375CB9FBBB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646" name="Text Box 249">
          <a:extLst>
            <a:ext uri="{FF2B5EF4-FFF2-40B4-BE49-F238E27FC236}">
              <a16:creationId xmlns:a16="http://schemas.microsoft.com/office/drawing/2014/main" id="{247393B7-7346-4E50-8065-08ADABCBA0F0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647" name="Text Box 249">
          <a:extLst>
            <a:ext uri="{FF2B5EF4-FFF2-40B4-BE49-F238E27FC236}">
              <a16:creationId xmlns:a16="http://schemas.microsoft.com/office/drawing/2014/main" id="{6551A0EE-9BA7-4037-A8E2-08833FD0C4D0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48" name="Text Box 249">
          <a:extLst>
            <a:ext uri="{FF2B5EF4-FFF2-40B4-BE49-F238E27FC236}">
              <a16:creationId xmlns:a16="http://schemas.microsoft.com/office/drawing/2014/main" id="{7CE64DC4-9857-4E94-BABB-3540BCE3D01C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649" name="Text Box 249">
          <a:extLst>
            <a:ext uri="{FF2B5EF4-FFF2-40B4-BE49-F238E27FC236}">
              <a16:creationId xmlns:a16="http://schemas.microsoft.com/office/drawing/2014/main" id="{94FF23AF-BEAF-4F43-B1E8-E12BD3DA4C7F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650" name="Text Box 249">
          <a:extLst>
            <a:ext uri="{FF2B5EF4-FFF2-40B4-BE49-F238E27FC236}">
              <a16:creationId xmlns:a16="http://schemas.microsoft.com/office/drawing/2014/main" id="{F22CA95A-57AF-4CDE-9826-A0ED7C6A4271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51" name="Text Box 249">
          <a:extLst>
            <a:ext uri="{FF2B5EF4-FFF2-40B4-BE49-F238E27FC236}">
              <a16:creationId xmlns:a16="http://schemas.microsoft.com/office/drawing/2014/main" id="{280B4AC7-4F0F-4E82-8ABC-AE7B6F383E54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52" name="Text Box 249">
          <a:extLst>
            <a:ext uri="{FF2B5EF4-FFF2-40B4-BE49-F238E27FC236}">
              <a16:creationId xmlns:a16="http://schemas.microsoft.com/office/drawing/2014/main" id="{DE43ED3B-0C84-42E2-9C80-68855CC89D2A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653" name="Text Box 249">
          <a:extLst>
            <a:ext uri="{FF2B5EF4-FFF2-40B4-BE49-F238E27FC236}">
              <a16:creationId xmlns:a16="http://schemas.microsoft.com/office/drawing/2014/main" id="{72BE17B7-A596-4953-8C74-50222FD3938E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654" name="Text Box 249">
          <a:extLst>
            <a:ext uri="{FF2B5EF4-FFF2-40B4-BE49-F238E27FC236}">
              <a16:creationId xmlns:a16="http://schemas.microsoft.com/office/drawing/2014/main" id="{CC07E483-3F9C-4D7B-99A5-51E6A62B103C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55" name="Text Box 249">
          <a:extLst>
            <a:ext uri="{FF2B5EF4-FFF2-40B4-BE49-F238E27FC236}">
              <a16:creationId xmlns:a16="http://schemas.microsoft.com/office/drawing/2014/main" id="{7DD222F5-6555-4EB2-B873-55324D137FDF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656" name="Text Box 249">
          <a:extLst>
            <a:ext uri="{FF2B5EF4-FFF2-40B4-BE49-F238E27FC236}">
              <a16:creationId xmlns:a16="http://schemas.microsoft.com/office/drawing/2014/main" id="{52F18354-6536-48EB-BA51-6C20BCE9A5FB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657" name="Text Box 249">
          <a:extLst>
            <a:ext uri="{FF2B5EF4-FFF2-40B4-BE49-F238E27FC236}">
              <a16:creationId xmlns:a16="http://schemas.microsoft.com/office/drawing/2014/main" id="{6E2FE408-E4B3-4303-9560-2239CB2944F7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58" name="Text Box 249">
          <a:extLst>
            <a:ext uri="{FF2B5EF4-FFF2-40B4-BE49-F238E27FC236}">
              <a16:creationId xmlns:a16="http://schemas.microsoft.com/office/drawing/2014/main" id="{3A05FCCA-C439-43ED-ABF6-19290EEAC467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659" name="Text Box 249">
          <a:extLst>
            <a:ext uri="{FF2B5EF4-FFF2-40B4-BE49-F238E27FC236}">
              <a16:creationId xmlns:a16="http://schemas.microsoft.com/office/drawing/2014/main" id="{E21E6418-4384-44E4-9998-0C2E49177693}"/>
            </a:ext>
          </a:extLst>
        </xdr:cNvPr>
        <xdr:cNvSpPr txBox="1">
          <a:spLocks noChangeArrowheads="1"/>
        </xdr:cNvSpPr>
      </xdr:nvSpPr>
      <xdr:spPr bwMode="auto">
        <a:xfrm>
          <a:off x="320802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60" name="Text Box 249">
          <a:extLst>
            <a:ext uri="{FF2B5EF4-FFF2-40B4-BE49-F238E27FC236}">
              <a16:creationId xmlns:a16="http://schemas.microsoft.com/office/drawing/2014/main" id="{45E129FF-8688-4429-8B21-B320212D04DF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661" name="Text Box 249">
          <a:extLst>
            <a:ext uri="{FF2B5EF4-FFF2-40B4-BE49-F238E27FC236}">
              <a16:creationId xmlns:a16="http://schemas.microsoft.com/office/drawing/2014/main" id="{7A41CC74-E99C-4D77-A727-9AECBE7E11F8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662" name="Text Box 249">
          <a:extLst>
            <a:ext uri="{FF2B5EF4-FFF2-40B4-BE49-F238E27FC236}">
              <a16:creationId xmlns:a16="http://schemas.microsoft.com/office/drawing/2014/main" id="{060915DD-637F-4ED7-8708-1DB80D1E6E86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63" name="Text Box 249">
          <a:extLst>
            <a:ext uri="{FF2B5EF4-FFF2-40B4-BE49-F238E27FC236}">
              <a16:creationId xmlns:a16="http://schemas.microsoft.com/office/drawing/2014/main" id="{B19A5B5F-598D-4E32-99D1-84575BFA44E9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664" name="Text Box 249">
          <a:extLst>
            <a:ext uri="{FF2B5EF4-FFF2-40B4-BE49-F238E27FC236}">
              <a16:creationId xmlns:a16="http://schemas.microsoft.com/office/drawing/2014/main" id="{67C77908-94E9-4A27-BB23-F5A89723209F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665" name="Text Box 249">
          <a:extLst>
            <a:ext uri="{FF2B5EF4-FFF2-40B4-BE49-F238E27FC236}">
              <a16:creationId xmlns:a16="http://schemas.microsoft.com/office/drawing/2014/main" id="{86FF2F44-D4AA-4B61-85FD-74197874D41C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66" name="Text Box 249">
          <a:extLst>
            <a:ext uri="{FF2B5EF4-FFF2-40B4-BE49-F238E27FC236}">
              <a16:creationId xmlns:a16="http://schemas.microsoft.com/office/drawing/2014/main" id="{72E73090-58D2-4D5E-B211-FF7B7E32CF76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667" name="Text Box 249">
          <a:extLst>
            <a:ext uri="{FF2B5EF4-FFF2-40B4-BE49-F238E27FC236}">
              <a16:creationId xmlns:a16="http://schemas.microsoft.com/office/drawing/2014/main" id="{38BF3EA2-C793-43E8-A370-F64B29BE0F14}"/>
            </a:ext>
          </a:extLst>
        </xdr:cNvPr>
        <xdr:cNvSpPr txBox="1">
          <a:spLocks noChangeArrowheads="1"/>
        </xdr:cNvSpPr>
      </xdr:nvSpPr>
      <xdr:spPr bwMode="auto">
        <a:xfrm>
          <a:off x="320802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68" name="Text Box 249">
          <a:extLst>
            <a:ext uri="{FF2B5EF4-FFF2-40B4-BE49-F238E27FC236}">
              <a16:creationId xmlns:a16="http://schemas.microsoft.com/office/drawing/2014/main" id="{1E85D8CF-7958-4E74-AA84-9CC114170D12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669" name="Text Box 249">
          <a:extLst>
            <a:ext uri="{FF2B5EF4-FFF2-40B4-BE49-F238E27FC236}">
              <a16:creationId xmlns:a16="http://schemas.microsoft.com/office/drawing/2014/main" id="{ACF1F581-1134-4F27-8473-CCF1ED29AAA9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670" name="Text Box 249">
          <a:extLst>
            <a:ext uri="{FF2B5EF4-FFF2-40B4-BE49-F238E27FC236}">
              <a16:creationId xmlns:a16="http://schemas.microsoft.com/office/drawing/2014/main" id="{6783342A-99B8-434D-A76F-C4BFB0CDEA14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71" name="Text Box 249">
          <a:extLst>
            <a:ext uri="{FF2B5EF4-FFF2-40B4-BE49-F238E27FC236}">
              <a16:creationId xmlns:a16="http://schemas.microsoft.com/office/drawing/2014/main" id="{B4FD2B51-1AC2-4464-910D-5A933D763422}"/>
            </a:ext>
          </a:extLst>
        </xdr:cNvPr>
        <xdr:cNvSpPr txBox="1">
          <a:spLocks noChangeArrowheads="1"/>
        </xdr:cNvSpPr>
      </xdr:nvSpPr>
      <xdr:spPr bwMode="auto">
        <a:xfrm>
          <a:off x="2766060" y="19621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672" name="Text Box 249">
          <a:extLst>
            <a:ext uri="{FF2B5EF4-FFF2-40B4-BE49-F238E27FC236}">
              <a16:creationId xmlns:a16="http://schemas.microsoft.com/office/drawing/2014/main" id="{3C3396B4-30C5-45FC-821A-8DA4CE9FC5A3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673" name="Text Box 249">
          <a:extLst>
            <a:ext uri="{FF2B5EF4-FFF2-40B4-BE49-F238E27FC236}">
              <a16:creationId xmlns:a16="http://schemas.microsoft.com/office/drawing/2014/main" id="{71248739-F212-4410-8C49-32179069D0BB}"/>
            </a:ext>
          </a:extLst>
        </xdr:cNvPr>
        <xdr:cNvSpPr txBox="1">
          <a:spLocks noChangeArrowheads="1"/>
        </xdr:cNvSpPr>
      </xdr:nvSpPr>
      <xdr:spPr bwMode="auto">
        <a:xfrm>
          <a:off x="3553460" y="19621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74" name="Text Box 249">
          <a:extLst>
            <a:ext uri="{FF2B5EF4-FFF2-40B4-BE49-F238E27FC236}">
              <a16:creationId xmlns:a16="http://schemas.microsoft.com/office/drawing/2014/main" id="{596563AA-734A-4EAA-8E38-22453EE4C433}"/>
            </a:ext>
          </a:extLst>
        </xdr:cNvPr>
        <xdr:cNvSpPr txBox="1">
          <a:spLocks noChangeArrowheads="1"/>
        </xdr:cNvSpPr>
      </xdr:nvSpPr>
      <xdr:spPr bwMode="auto">
        <a:xfrm>
          <a:off x="2766060" y="21907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675" name="Text Box 249">
          <a:extLst>
            <a:ext uri="{FF2B5EF4-FFF2-40B4-BE49-F238E27FC236}">
              <a16:creationId xmlns:a16="http://schemas.microsoft.com/office/drawing/2014/main" id="{8FFEC9AD-0D4D-4C51-B3CD-90FA632384CD}"/>
            </a:ext>
          </a:extLst>
        </xdr:cNvPr>
        <xdr:cNvSpPr txBox="1">
          <a:spLocks noChangeArrowheads="1"/>
        </xdr:cNvSpPr>
      </xdr:nvSpPr>
      <xdr:spPr bwMode="auto">
        <a:xfrm>
          <a:off x="3208020" y="21907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76" name="Text Box 249">
          <a:extLst>
            <a:ext uri="{FF2B5EF4-FFF2-40B4-BE49-F238E27FC236}">
              <a16:creationId xmlns:a16="http://schemas.microsoft.com/office/drawing/2014/main" id="{D0D73C5B-B1F4-4A95-8251-229F324304B9}"/>
            </a:ext>
          </a:extLst>
        </xdr:cNvPr>
        <xdr:cNvSpPr txBox="1">
          <a:spLocks noChangeArrowheads="1"/>
        </xdr:cNvSpPr>
      </xdr:nvSpPr>
      <xdr:spPr bwMode="auto">
        <a:xfrm>
          <a:off x="2766060" y="21907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677" name="Text Box 249">
          <a:extLst>
            <a:ext uri="{FF2B5EF4-FFF2-40B4-BE49-F238E27FC236}">
              <a16:creationId xmlns:a16="http://schemas.microsoft.com/office/drawing/2014/main" id="{3FC4CCA6-7C35-48D9-8FA7-8ADB6058B6B8}"/>
            </a:ext>
          </a:extLst>
        </xdr:cNvPr>
        <xdr:cNvSpPr txBox="1">
          <a:spLocks noChangeArrowheads="1"/>
        </xdr:cNvSpPr>
      </xdr:nvSpPr>
      <xdr:spPr bwMode="auto">
        <a:xfrm>
          <a:off x="3553460" y="21907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678" name="Text Box 249">
          <a:extLst>
            <a:ext uri="{FF2B5EF4-FFF2-40B4-BE49-F238E27FC236}">
              <a16:creationId xmlns:a16="http://schemas.microsoft.com/office/drawing/2014/main" id="{2C1F834B-2BAF-48BA-A090-3E4B0CC21E50}"/>
            </a:ext>
          </a:extLst>
        </xdr:cNvPr>
        <xdr:cNvSpPr txBox="1">
          <a:spLocks noChangeArrowheads="1"/>
        </xdr:cNvSpPr>
      </xdr:nvSpPr>
      <xdr:spPr bwMode="auto">
        <a:xfrm>
          <a:off x="3553460" y="21907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79" name="Text Box 249">
          <a:extLst>
            <a:ext uri="{FF2B5EF4-FFF2-40B4-BE49-F238E27FC236}">
              <a16:creationId xmlns:a16="http://schemas.microsoft.com/office/drawing/2014/main" id="{B5EA0CEE-4E92-4613-9D37-5C28FA5F6F82}"/>
            </a:ext>
          </a:extLst>
        </xdr:cNvPr>
        <xdr:cNvSpPr txBox="1">
          <a:spLocks noChangeArrowheads="1"/>
        </xdr:cNvSpPr>
      </xdr:nvSpPr>
      <xdr:spPr bwMode="auto">
        <a:xfrm>
          <a:off x="2766060" y="21907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680" name="Text Box 249">
          <a:extLst>
            <a:ext uri="{FF2B5EF4-FFF2-40B4-BE49-F238E27FC236}">
              <a16:creationId xmlns:a16="http://schemas.microsoft.com/office/drawing/2014/main" id="{7E36D754-A226-4A79-BE54-FF5D13F823EA}"/>
            </a:ext>
          </a:extLst>
        </xdr:cNvPr>
        <xdr:cNvSpPr txBox="1">
          <a:spLocks noChangeArrowheads="1"/>
        </xdr:cNvSpPr>
      </xdr:nvSpPr>
      <xdr:spPr bwMode="auto">
        <a:xfrm>
          <a:off x="3553460" y="21907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681" name="Text Box 249">
          <a:extLst>
            <a:ext uri="{FF2B5EF4-FFF2-40B4-BE49-F238E27FC236}">
              <a16:creationId xmlns:a16="http://schemas.microsoft.com/office/drawing/2014/main" id="{8CDE6BDA-4AC6-4DE6-8897-E02B4D2719AB}"/>
            </a:ext>
          </a:extLst>
        </xdr:cNvPr>
        <xdr:cNvSpPr txBox="1">
          <a:spLocks noChangeArrowheads="1"/>
        </xdr:cNvSpPr>
      </xdr:nvSpPr>
      <xdr:spPr bwMode="auto">
        <a:xfrm>
          <a:off x="3553460" y="21907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82" name="Text Box 249">
          <a:extLst>
            <a:ext uri="{FF2B5EF4-FFF2-40B4-BE49-F238E27FC236}">
              <a16:creationId xmlns:a16="http://schemas.microsoft.com/office/drawing/2014/main" id="{F660C8F1-3459-406C-A356-76B9382DAB45}"/>
            </a:ext>
          </a:extLst>
        </xdr:cNvPr>
        <xdr:cNvSpPr txBox="1">
          <a:spLocks noChangeArrowheads="1"/>
        </xdr:cNvSpPr>
      </xdr:nvSpPr>
      <xdr:spPr bwMode="auto">
        <a:xfrm>
          <a:off x="2766060" y="21907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683" name="Text Box 249">
          <a:extLst>
            <a:ext uri="{FF2B5EF4-FFF2-40B4-BE49-F238E27FC236}">
              <a16:creationId xmlns:a16="http://schemas.microsoft.com/office/drawing/2014/main" id="{BFEE6012-7649-46ED-BED8-7211DE267937}"/>
            </a:ext>
          </a:extLst>
        </xdr:cNvPr>
        <xdr:cNvSpPr txBox="1">
          <a:spLocks noChangeArrowheads="1"/>
        </xdr:cNvSpPr>
      </xdr:nvSpPr>
      <xdr:spPr bwMode="auto">
        <a:xfrm>
          <a:off x="3208020" y="21907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84" name="Text Box 249">
          <a:extLst>
            <a:ext uri="{FF2B5EF4-FFF2-40B4-BE49-F238E27FC236}">
              <a16:creationId xmlns:a16="http://schemas.microsoft.com/office/drawing/2014/main" id="{536EB52D-32D0-4319-BE44-81B235C7BDE3}"/>
            </a:ext>
          </a:extLst>
        </xdr:cNvPr>
        <xdr:cNvSpPr txBox="1">
          <a:spLocks noChangeArrowheads="1"/>
        </xdr:cNvSpPr>
      </xdr:nvSpPr>
      <xdr:spPr bwMode="auto">
        <a:xfrm>
          <a:off x="2766060" y="21907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685" name="Text Box 249">
          <a:extLst>
            <a:ext uri="{FF2B5EF4-FFF2-40B4-BE49-F238E27FC236}">
              <a16:creationId xmlns:a16="http://schemas.microsoft.com/office/drawing/2014/main" id="{E006778B-0664-43F3-856A-F2A79AD6055F}"/>
            </a:ext>
          </a:extLst>
        </xdr:cNvPr>
        <xdr:cNvSpPr txBox="1">
          <a:spLocks noChangeArrowheads="1"/>
        </xdr:cNvSpPr>
      </xdr:nvSpPr>
      <xdr:spPr bwMode="auto">
        <a:xfrm>
          <a:off x="3553460" y="21907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686" name="Text Box 249">
          <a:extLst>
            <a:ext uri="{FF2B5EF4-FFF2-40B4-BE49-F238E27FC236}">
              <a16:creationId xmlns:a16="http://schemas.microsoft.com/office/drawing/2014/main" id="{4013E291-2921-4ADE-8B69-1FEBB356921A}"/>
            </a:ext>
          </a:extLst>
        </xdr:cNvPr>
        <xdr:cNvSpPr txBox="1">
          <a:spLocks noChangeArrowheads="1"/>
        </xdr:cNvSpPr>
      </xdr:nvSpPr>
      <xdr:spPr bwMode="auto">
        <a:xfrm>
          <a:off x="3553460" y="21907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87" name="Text Box 249">
          <a:extLst>
            <a:ext uri="{FF2B5EF4-FFF2-40B4-BE49-F238E27FC236}">
              <a16:creationId xmlns:a16="http://schemas.microsoft.com/office/drawing/2014/main" id="{2A0EEA3C-F129-4646-A0FE-141A0E7FB14E}"/>
            </a:ext>
          </a:extLst>
        </xdr:cNvPr>
        <xdr:cNvSpPr txBox="1">
          <a:spLocks noChangeArrowheads="1"/>
        </xdr:cNvSpPr>
      </xdr:nvSpPr>
      <xdr:spPr bwMode="auto">
        <a:xfrm>
          <a:off x="2766060" y="21907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688" name="Text Box 249">
          <a:extLst>
            <a:ext uri="{FF2B5EF4-FFF2-40B4-BE49-F238E27FC236}">
              <a16:creationId xmlns:a16="http://schemas.microsoft.com/office/drawing/2014/main" id="{98F84475-87AB-4CE3-A1E3-EA431E482C85}"/>
            </a:ext>
          </a:extLst>
        </xdr:cNvPr>
        <xdr:cNvSpPr txBox="1">
          <a:spLocks noChangeArrowheads="1"/>
        </xdr:cNvSpPr>
      </xdr:nvSpPr>
      <xdr:spPr bwMode="auto">
        <a:xfrm>
          <a:off x="3553460" y="21907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689" name="Text Box 249">
          <a:extLst>
            <a:ext uri="{FF2B5EF4-FFF2-40B4-BE49-F238E27FC236}">
              <a16:creationId xmlns:a16="http://schemas.microsoft.com/office/drawing/2014/main" id="{1C92D708-2D8B-4682-95A7-3469DEB72848}"/>
            </a:ext>
          </a:extLst>
        </xdr:cNvPr>
        <xdr:cNvSpPr txBox="1">
          <a:spLocks noChangeArrowheads="1"/>
        </xdr:cNvSpPr>
      </xdr:nvSpPr>
      <xdr:spPr bwMode="auto">
        <a:xfrm>
          <a:off x="3553460" y="21907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90" name="Text Box 249">
          <a:extLst>
            <a:ext uri="{FF2B5EF4-FFF2-40B4-BE49-F238E27FC236}">
              <a16:creationId xmlns:a16="http://schemas.microsoft.com/office/drawing/2014/main" id="{DB6C3549-408B-4C2B-8873-370A24779F7F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691" name="Text Box 249">
          <a:extLst>
            <a:ext uri="{FF2B5EF4-FFF2-40B4-BE49-F238E27FC236}">
              <a16:creationId xmlns:a16="http://schemas.microsoft.com/office/drawing/2014/main" id="{3FD8A627-15F2-4A69-BCE6-55B9C2D08D8F}"/>
            </a:ext>
          </a:extLst>
        </xdr:cNvPr>
        <xdr:cNvSpPr txBox="1">
          <a:spLocks noChangeArrowheads="1"/>
        </xdr:cNvSpPr>
      </xdr:nvSpPr>
      <xdr:spPr bwMode="auto">
        <a:xfrm>
          <a:off x="320802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92" name="Text Box 249">
          <a:extLst>
            <a:ext uri="{FF2B5EF4-FFF2-40B4-BE49-F238E27FC236}">
              <a16:creationId xmlns:a16="http://schemas.microsoft.com/office/drawing/2014/main" id="{DA11C495-EF9E-4638-A85D-E2C5869E0D60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693" name="Text Box 249">
          <a:extLst>
            <a:ext uri="{FF2B5EF4-FFF2-40B4-BE49-F238E27FC236}">
              <a16:creationId xmlns:a16="http://schemas.microsoft.com/office/drawing/2014/main" id="{DEE4D19A-0E7D-483C-ABFC-B0C00498D483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694" name="Text Box 249">
          <a:extLst>
            <a:ext uri="{FF2B5EF4-FFF2-40B4-BE49-F238E27FC236}">
              <a16:creationId xmlns:a16="http://schemas.microsoft.com/office/drawing/2014/main" id="{56048C42-6FAF-4C6C-B618-1B215BD1933C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95" name="Text Box 249">
          <a:extLst>
            <a:ext uri="{FF2B5EF4-FFF2-40B4-BE49-F238E27FC236}">
              <a16:creationId xmlns:a16="http://schemas.microsoft.com/office/drawing/2014/main" id="{EA216127-F787-4A69-8D5C-EC9D6E3634BF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696" name="Text Box 249">
          <a:extLst>
            <a:ext uri="{FF2B5EF4-FFF2-40B4-BE49-F238E27FC236}">
              <a16:creationId xmlns:a16="http://schemas.microsoft.com/office/drawing/2014/main" id="{9439D94C-063B-4548-B06B-AB34EA3C0E8E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697" name="Text Box 249">
          <a:extLst>
            <a:ext uri="{FF2B5EF4-FFF2-40B4-BE49-F238E27FC236}">
              <a16:creationId xmlns:a16="http://schemas.microsoft.com/office/drawing/2014/main" id="{7A46A6A9-EFCF-4B5D-8146-D05C698A2187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698" name="Text Box 249">
          <a:extLst>
            <a:ext uri="{FF2B5EF4-FFF2-40B4-BE49-F238E27FC236}">
              <a16:creationId xmlns:a16="http://schemas.microsoft.com/office/drawing/2014/main" id="{B8827398-A989-4CCF-B86D-C10AEB2755F5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699" name="Text Box 249">
          <a:extLst>
            <a:ext uri="{FF2B5EF4-FFF2-40B4-BE49-F238E27FC236}">
              <a16:creationId xmlns:a16="http://schemas.microsoft.com/office/drawing/2014/main" id="{D05C3A66-4FA9-4C0E-BE4C-0154B6DC63F0}"/>
            </a:ext>
          </a:extLst>
        </xdr:cNvPr>
        <xdr:cNvSpPr txBox="1">
          <a:spLocks noChangeArrowheads="1"/>
        </xdr:cNvSpPr>
      </xdr:nvSpPr>
      <xdr:spPr bwMode="auto">
        <a:xfrm>
          <a:off x="320802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00" name="Text Box 249">
          <a:extLst>
            <a:ext uri="{FF2B5EF4-FFF2-40B4-BE49-F238E27FC236}">
              <a16:creationId xmlns:a16="http://schemas.microsoft.com/office/drawing/2014/main" id="{30037F7E-8A40-43DF-9233-FD430D86CA3E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701" name="Text Box 249">
          <a:extLst>
            <a:ext uri="{FF2B5EF4-FFF2-40B4-BE49-F238E27FC236}">
              <a16:creationId xmlns:a16="http://schemas.microsoft.com/office/drawing/2014/main" id="{209DD259-82E1-467B-A13C-93D6EE0D4BDA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702" name="Text Box 249">
          <a:extLst>
            <a:ext uri="{FF2B5EF4-FFF2-40B4-BE49-F238E27FC236}">
              <a16:creationId xmlns:a16="http://schemas.microsoft.com/office/drawing/2014/main" id="{A0F774F5-9DC6-4ACA-A256-812CB39DE759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03" name="Text Box 249">
          <a:extLst>
            <a:ext uri="{FF2B5EF4-FFF2-40B4-BE49-F238E27FC236}">
              <a16:creationId xmlns:a16="http://schemas.microsoft.com/office/drawing/2014/main" id="{FFD88A5C-7D4E-4763-A974-E46194E296BF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704" name="Text Box 249">
          <a:extLst>
            <a:ext uri="{FF2B5EF4-FFF2-40B4-BE49-F238E27FC236}">
              <a16:creationId xmlns:a16="http://schemas.microsoft.com/office/drawing/2014/main" id="{F49226D2-CD26-42D5-A1BA-6A11C11FAA48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705" name="Text Box 249">
          <a:extLst>
            <a:ext uri="{FF2B5EF4-FFF2-40B4-BE49-F238E27FC236}">
              <a16:creationId xmlns:a16="http://schemas.microsoft.com/office/drawing/2014/main" id="{CF6264C1-5EF6-4EDE-B14C-49F268F4934C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06" name="Text Box 249">
          <a:extLst>
            <a:ext uri="{FF2B5EF4-FFF2-40B4-BE49-F238E27FC236}">
              <a16:creationId xmlns:a16="http://schemas.microsoft.com/office/drawing/2014/main" id="{2F335755-AB4F-4FDB-AA7A-B0F78507A640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707" name="Text Box 249">
          <a:extLst>
            <a:ext uri="{FF2B5EF4-FFF2-40B4-BE49-F238E27FC236}">
              <a16:creationId xmlns:a16="http://schemas.microsoft.com/office/drawing/2014/main" id="{A326109B-250B-45FB-9782-72DF2118A92C}"/>
            </a:ext>
          </a:extLst>
        </xdr:cNvPr>
        <xdr:cNvSpPr txBox="1">
          <a:spLocks noChangeArrowheads="1"/>
        </xdr:cNvSpPr>
      </xdr:nvSpPr>
      <xdr:spPr bwMode="auto">
        <a:xfrm>
          <a:off x="320802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08" name="Text Box 249">
          <a:extLst>
            <a:ext uri="{FF2B5EF4-FFF2-40B4-BE49-F238E27FC236}">
              <a16:creationId xmlns:a16="http://schemas.microsoft.com/office/drawing/2014/main" id="{D922FD5B-8F65-4500-AE95-4DD02C7E421F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709" name="Text Box 249">
          <a:extLst>
            <a:ext uri="{FF2B5EF4-FFF2-40B4-BE49-F238E27FC236}">
              <a16:creationId xmlns:a16="http://schemas.microsoft.com/office/drawing/2014/main" id="{3A1BEA55-A292-4803-9548-82112FD13AF5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710" name="Text Box 249">
          <a:extLst>
            <a:ext uri="{FF2B5EF4-FFF2-40B4-BE49-F238E27FC236}">
              <a16:creationId xmlns:a16="http://schemas.microsoft.com/office/drawing/2014/main" id="{7FF8FCCD-033D-4EE7-B88D-5CE590B473C3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11" name="Text Box 249">
          <a:extLst>
            <a:ext uri="{FF2B5EF4-FFF2-40B4-BE49-F238E27FC236}">
              <a16:creationId xmlns:a16="http://schemas.microsoft.com/office/drawing/2014/main" id="{FD548B5A-29E9-4152-835E-D6F5A4257316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712" name="Text Box 249">
          <a:extLst>
            <a:ext uri="{FF2B5EF4-FFF2-40B4-BE49-F238E27FC236}">
              <a16:creationId xmlns:a16="http://schemas.microsoft.com/office/drawing/2014/main" id="{5A35A62E-C232-4DAB-992F-2856F784CC05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713" name="Text Box 249">
          <a:extLst>
            <a:ext uri="{FF2B5EF4-FFF2-40B4-BE49-F238E27FC236}">
              <a16:creationId xmlns:a16="http://schemas.microsoft.com/office/drawing/2014/main" id="{D96BDE04-3183-4BCB-A73D-ED888493FFF6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14" name="Text Box 249">
          <a:extLst>
            <a:ext uri="{FF2B5EF4-FFF2-40B4-BE49-F238E27FC236}">
              <a16:creationId xmlns:a16="http://schemas.microsoft.com/office/drawing/2014/main" id="{D075B438-4E3C-4A3D-B09E-02B4EBB56975}"/>
            </a:ext>
          </a:extLst>
        </xdr:cNvPr>
        <xdr:cNvSpPr txBox="1">
          <a:spLocks noChangeArrowheads="1"/>
        </xdr:cNvSpPr>
      </xdr:nvSpPr>
      <xdr:spPr bwMode="auto">
        <a:xfrm>
          <a:off x="2766060" y="2228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715" name="Text Box 249">
          <a:extLst>
            <a:ext uri="{FF2B5EF4-FFF2-40B4-BE49-F238E27FC236}">
              <a16:creationId xmlns:a16="http://schemas.microsoft.com/office/drawing/2014/main" id="{4B29BE11-2613-4E7D-BB68-058E838F77FA}"/>
            </a:ext>
          </a:extLst>
        </xdr:cNvPr>
        <xdr:cNvSpPr txBox="1">
          <a:spLocks noChangeArrowheads="1"/>
        </xdr:cNvSpPr>
      </xdr:nvSpPr>
      <xdr:spPr bwMode="auto">
        <a:xfrm>
          <a:off x="3208020" y="2228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16" name="Text Box 249">
          <a:extLst>
            <a:ext uri="{FF2B5EF4-FFF2-40B4-BE49-F238E27FC236}">
              <a16:creationId xmlns:a16="http://schemas.microsoft.com/office/drawing/2014/main" id="{8125A60F-BDE8-430D-8FA2-CAA78D4DFEDF}"/>
            </a:ext>
          </a:extLst>
        </xdr:cNvPr>
        <xdr:cNvSpPr txBox="1">
          <a:spLocks noChangeArrowheads="1"/>
        </xdr:cNvSpPr>
      </xdr:nvSpPr>
      <xdr:spPr bwMode="auto">
        <a:xfrm>
          <a:off x="2766060" y="2228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717" name="Text Box 249">
          <a:extLst>
            <a:ext uri="{FF2B5EF4-FFF2-40B4-BE49-F238E27FC236}">
              <a16:creationId xmlns:a16="http://schemas.microsoft.com/office/drawing/2014/main" id="{E7EEC232-9B90-4635-BD66-48F81C1843B8}"/>
            </a:ext>
          </a:extLst>
        </xdr:cNvPr>
        <xdr:cNvSpPr txBox="1">
          <a:spLocks noChangeArrowheads="1"/>
        </xdr:cNvSpPr>
      </xdr:nvSpPr>
      <xdr:spPr bwMode="auto">
        <a:xfrm>
          <a:off x="3553460" y="2228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718" name="Text Box 249">
          <a:extLst>
            <a:ext uri="{FF2B5EF4-FFF2-40B4-BE49-F238E27FC236}">
              <a16:creationId xmlns:a16="http://schemas.microsoft.com/office/drawing/2014/main" id="{45CD9328-BD92-413F-B2F5-0B01EF2A0381}"/>
            </a:ext>
          </a:extLst>
        </xdr:cNvPr>
        <xdr:cNvSpPr txBox="1">
          <a:spLocks noChangeArrowheads="1"/>
        </xdr:cNvSpPr>
      </xdr:nvSpPr>
      <xdr:spPr bwMode="auto">
        <a:xfrm>
          <a:off x="3553460" y="22288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19" name="Text Box 249">
          <a:extLst>
            <a:ext uri="{FF2B5EF4-FFF2-40B4-BE49-F238E27FC236}">
              <a16:creationId xmlns:a16="http://schemas.microsoft.com/office/drawing/2014/main" id="{3A5137B8-4DBE-4C0F-9789-3F68A92DF139}"/>
            </a:ext>
          </a:extLst>
        </xdr:cNvPr>
        <xdr:cNvSpPr txBox="1">
          <a:spLocks noChangeArrowheads="1"/>
        </xdr:cNvSpPr>
      </xdr:nvSpPr>
      <xdr:spPr bwMode="auto">
        <a:xfrm>
          <a:off x="2766060" y="2228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720" name="Text Box 249">
          <a:extLst>
            <a:ext uri="{FF2B5EF4-FFF2-40B4-BE49-F238E27FC236}">
              <a16:creationId xmlns:a16="http://schemas.microsoft.com/office/drawing/2014/main" id="{4D2B1187-20D0-47F0-8151-E62956FDD19C}"/>
            </a:ext>
          </a:extLst>
        </xdr:cNvPr>
        <xdr:cNvSpPr txBox="1">
          <a:spLocks noChangeArrowheads="1"/>
        </xdr:cNvSpPr>
      </xdr:nvSpPr>
      <xdr:spPr bwMode="auto">
        <a:xfrm>
          <a:off x="3553460" y="22288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721" name="Text Box 249">
          <a:extLst>
            <a:ext uri="{FF2B5EF4-FFF2-40B4-BE49-F238E27FC236}">
              <a16:creationId xmlns:a16="http://schemas.microsoft.com/office/drawing/2014/main" id="{ECE186BC-C46F-4448-98B1-63D887C4E347}"/>
            </a:ext>
          </a:extLst>
        </xdr:cNvPr>
        <xdr:cNvSpPr txBox="1">
          <a:spLocks noChangeArrowheads="1"/>
        </xdr:cNvSpPr>
      </xdr:nvSpPr>
      <xdr:spPr bwMode="auto">
        <a:xfrm>
          <a:off x="3553460" y="22288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22" name="Text Box 249">
          <a:extLst>
            <a:ext uri="{FF2B5EF4-FFF2-40B4-BE49-F238E27FC236}">
              <a16:creationId xmlns:a16="http://schemas.microsoft.com/office/drawing/2014/main" id="{FBED6BBD-4DBC-4E37-8402-A2AF41E9C943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723" name="Text Box 249">
          <a:extLst>
            <a:ext uri="{FF2B5EF4-FFF2-40B4-BE49-F238E27FC236}">
              <a16:creationId xmlns:a16="http://schemas.microsoft.com/office/drawing/2014/main" id="{09A94CB3-3728-4710-BD1B-48437BF9FD3B}"/>
            </a:ext>
          </a:extLst>
        </xdr:cNvPr>
        <xdr:cNvSpPr txBox="1">
          <a:spLocks noChangeArrowheads="1"/>
        </xdr:cNvSpPr>
      </xdr:nvSpPr>
      <xdr:spPr bwMode="auto">
        <a:xfrm>
          <a:off x="320802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24" name="Text Box 249">
          <a:extLst>
            <a:ext uri="{FF2B5EF4-FFF2-40B4-BE49-F238E27FC236}">
              <a16:creationId xmlns:a16="http://schemas.microsoft.com/office/drawing/2014/main" id="{06E7BEFB-68E9-4779-89B1-06AD49F744DF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725" name="Text Box 249">
          <a:extLst>
            <a:ext uri="{FF2B5EF4-FFF2-40B4-BE49-F238E27FC236}">
              <a16:creationId xmlns:a16="http://schemas.microsoft.com/office/drawing/2014/main" id="{D69B1900-9CE9-4891-AECC-65166031135B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726" name="Text Box 249">
          <a:extLst>
            <a:ext uri="{FF2B5EF4-FFF2-40B4-BE49-F238E27FC236}">
              <a16:creationId xmlns:a16="http://schemas.microsoft.com/office/drawing/2014/main" id="{9A3AAF7B-3448-4D7D-9A1B-92D1FD5B3F49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27" name="Text Box 249">
          <a:extLst>
            <a:ext uri="{FF2B5EF4-FFF2-40B4-BE49-F238E27FC236}">
              <a16:creationId xmlns:a16="http://schemas.microsoft.com/office/drawing/2014/main" id="{C160270D-A45E-4AD2-927A-7CCE3565AFBD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728" name="Text Box 249">
          <a:extLst>
            <a:ext uri="{FF2B5EF4-FFF2-40B4-BE49-F238E27FC236}">
              <a16:creationId xmlns:a16="http://schemas.microsoft.com/office/drawing/2014/main" id="{48B87AF6-453B-4080-B458-74C0BFC70BE3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729" name="Text Box 249">
          <a:extLst>
            <a:ext uri="{FF2B5EF4-FFF2-40B4-BE49-F238E27FC236}">
              <a16:creationId xmlns:a16="http://schemas.microsoft.com/office/drawing/2014/main" id="{2702F26A-1FCE-4949-8F0D-98D0077E5B38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30" name="Text Box 249">
          <a:extLst>
            <a:ext uri="{FF2B5EF4-FFF2-40B4-BE49-F238E27FC236}">
              <a16:creationId xmlns:a16="http://schemas.microsoft.com/office/drawing/2014/main" id="{379C0CD3-9496-4752-AE0B-C08163647435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731" name="Text Box 249">
          <a:extLst>
            <a:ext uri="{FF2B5EF4-FFF2-40B4-BE49-F238E27FC236}">
              <a16:creationId xmlns:a16="http://schemas.microsoft.com/office/drawing/2014/main" id="{5144CCCD-EDCB-4776-9187-CA726CB28940}"/>
            </a:ext>
          </a:extLst>
        </xdr:cNvPr>
        <xdr:cNvSpPr txBox="1">
          <a:spLocks noChangeArrowheads="1"/>
        </xdr:cNvSpPr>
      </xdr:nvSpPr>
      <xdr:spPr bwMode="auto">
        <a:xfrm>
          <a:off x="320802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32" name="Text Box 249">
          <a:extLst>
            <a:ext uri="{FF2B5EF4-FFF2-40B4-BE49-F238E27FC236}">
              <a16:creationId xmlns:a16="http://schemas.microsoft.com/office/drawing/2014/main" id="{15642AE9-8393-414F-ACDE-0E0C475DA814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733" name="Text Box 249">
          <a:extLst>
            <a:ext uri="{FF2B5EF4-FFF2-40B4-BE49-F238E27FC236}">
              <a16:creationId xmlns:a16="http://schemas.microsoft.com/office/drawing/2014/main" id="{BACD6BE0-EF32-417E-87C3-B27406DF7278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734" name="Text Box 249">
          <a:extLst>
            <a:ext uri="{FF2B5EF4-FFF2-40B4-BE49-F238E27FC236}">
              <a16:creationId xmlns:a16="http://schemas.microsoft.com/office/drawing/2014/main" id="{C588218E-C096-4DE9-94F5-96E80BD516C7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35" name="Text Box 249">
          <a:extLst>
            <a:ext uri="{FF2B5EF4-FFF2-40B4-BE49-F238E27FC236}">
              <a16:creationId xmlns:a16="http://schemas.microsoft.com/office/drawing/2014/main" id="{219352D7-AF3F-442E-8CE1-8104EBB9E8DD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736" name="Text Box 249">
          <a:extLst>
            <a:ext uri="{FF2B5EF4-FFF2-40B4-BE49-F238E27FC236}">
              <a16:creationId xmlns:a16="http://schemas.microsoft.com/office/drawing/2014/main" id="{6CB20E46-7663-4957-9D64-169E5A9FA496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737" name="Text Box 249">
          <a:extLst>
            <a:ext uri="{FF2B5EF4-FFF2-40B4-BE49-F238E27FC236}">
              <a16:creationId xmlns:a16="http://schemas.microsoft.com/office/drawing/2014/main" id="{980FEBCB-CE94-4D9A-A2F0-38D9E3ED09BC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144</xdr:row>
      <xdr:rowOff>0</xdr:rowOff>
    </xdr:from>
    <xdr:ext cx="104775" cy="208801"/>
    <xdr:sp macro="" textlink="">
      <xdr:nvSpPr>
        <xdr:cNvPr id="738" name="Text Box 249">
          <a:extLst>
            <a:ext uri="{FF2B5EF4-FFF2-40B4-BE49-F238E27FC236}">
              <a16:creationId xmlns:a16="http://schemas.microsoft.com/office/drawing/2014/main" id="{4B7623BC-E945-46D8-981B-ABE112CEBC2E}"/>
            </a:ext>
          </a:extLst>
        </xdr:cNvPr>
        <xdr:cNvSpPr txBox="1">
          <a:spLocks noChangeArrowheads="1"/>
        </xdr:cNvSpPr>
      </xdr:nvSpPr>
      <xdr:spPr bwMode="auto">
        <a:xfrm>
          <a:off x="2766060" y="2228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144</xdr:row>
      <xdr:rowOff>0</xdr:rowOff>
    </xdr:from>
    <xdr:ext cx="104775" cy="208801"/>
    <xdr:sp macro="" textlink="">
      <xdr:nvSpPr>
        <xdr:cNvPr id="739" name="Text Box 249">
          <a:extLst>
            <a:ext uri="{FF2B5EF4-FFF2-40B4-BE49-F238E27FC236}">
              <a16:creationId xmlns:a16="http://schemas.microsoft.com/office/drawing/2014/main" id="{FA28698B-A5BB-47BA-A10C-37234C34D1CF}"/>
            </a:ext>
          </a:extLst>
        </xdr:cNvPr>
        <xdr:cNvSpPr txBox="1">
          <a:spLocks noChangeArrowheads="1"/>
        </xdr:cNvSpPr>
      </xdr:nvSpPr>
      <xdr:spPr bwMode="auto">
        <a:xfrm>
          <a:off x="3208020" y="2228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144</xdr:row>
      <xdr:rowOff>0</xdr:rowOff>
    </xdr:from>
    <xdr:ext cx="104775" cy="208801"/>
    <xdr:sp macro="" textlink="">
      <xdr:nvSpPr>
        <xdr:cNvPr id="740" name="Text Box 249">
          <a:extLst>
            <a:ext uri="{FF2B5EF4-FFF2-40B4-BE49-F238E27FC236}">
              <a16:creationId xmlns:a16="http://schemas.microsoft.com/office/drawing/2014/main" id="{8B6DF3AF-6200-44A2-94F0-2B04AC3ECA4E}"/>
            </a:ext>
          </a:extLst>
        </xdr:cNvPr>
        <xdr:cNvSpPr txBox="1">
          <a:spLocks noChangeArrowheads="1"/>
        </xdr:cNvSpPr>
      </xdr:nvSpPr>
      <xdr:spPr bwMode="auto">
        <a:xfrm>
          <a:off x="2766060" y="2228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144</xdr:row>
      <xdr:rowOff>0</xdr:rowOff>
    </xdr:from>
    <xdr:ext cx="104775" cy="208801"/>
    <xdr:sp macro="" textlink="">
      <xdr:nvSpPr>
        <xdr:cNvPr id="741" name="Text Box 249">
          <a:extLst>
            <a:ext uri="{FF2B5EF4-FFF2-40B4-BE49-F238E27FC236}">
              <a16:creationId xmlns:a16="http://schemas.microsoft.com/office/drawing/2014/main" id="{B801E89C-8055-490A-B745-8D5AB823D74D}"/>
            </a:ext>
          </a:extLst>
        </xdr:cNvPr>
        <xdr:cNvSpPr txBox="1">
          <a:spLocks noChangeArrowheads="1"/>
        </xdr:cNvSpPr>
      </xdr:nvSpPr>
      <xdr:spPr bwMode="auto">
        <a:xfrm>
          <a:off x="3553460" y="2228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144</xdr:row>
      <xdr:rowOff>0</xdr:rowOff>
    </xdr:from>
    <xdr:ext cx="104775" cy="213036"/>
    <xdr:sp macro="" textlink="">
      <xdr:nvSpPr>
        <xdr:cNvPr id="742" name="Text Box 249">
          <a:extLst>
            <a:ext uri="{FF2B5EF4-FFF2-40B4-BE49-F238E27FC236}">
              <a16:creationId xmlns:a16="http://schemas.microsoft.com/office/drawing/2014/main" id="{2FF99C48-D992-42ED-9CEE-96A68089C500}"/>
            </a:ext>
          </a:extLst>
        </xdr:cNvPr>
        <xdr:cNvSpPr txBox="1">
          <a:spLocks noChangeArrowheads="1"/>
        </xdr:cNvSpPr>
      </xdr:nvSpPr>
      <xdr:spPr bwMode="auto">
        <a:xfrm>
          <a:off x="3553460" y="222885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144</xdr:row>
      <xdr:rowOff>0</xdr:rowOff>
    </xdr:from>
    <xdr:ext cx="104775" cy="208801"/>
    <xdr:sp macro="" textlink="">
      <xdr:nvSpPr>
        <xdr:cNvPr id="743" name="Text Box 249">
          <a:extLst>
            <a:ext uri="{FF2B5EF4-FFF2-40B4-BE49-F238E27FC236}">
              <a16:creationId xmlns:a16="http://schemas.microsoft.com/office/drawing/2014/main" id="{36C29530-E4C0-4BF6-85B1-1A8E5C200258}"/>
            </a:ext>
          </a:extLst>
        </xdr:cNvPr>
        <xdr:cNvSpPr txBox="1">
          <a:spLocks noChangeArrowheads="1"/>
        </xdr:cNvSpPr>
      </xdr:nvSpPr>
      <xdr:spPr bwMode="auto">
        <a:xfrm>
          <a:off x="2766060" y="22288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144</xdr:row>
      <xdr:rowOff>0</xdr:rowOff>
    </xdr:from>
    <xdr:ext cx="104775" cy="210011"/>
    <xdr:sp macro="" textlink="">
      <xdr:nvSpPr>
        <xdr:cNvPr id="744" name="Text Box 249">
          <a:extLst>
            <a:ext uri="{FF2B5EF4-FFF2-40B4-BE49-F238E27FC236}">
              <a16:creationId xmlns:a16="http://schemas.microsoft.com/office/drawing/2014/main" id="{79F7F78A-285E-4040-8B55-05CB64D08C5E}"/>
            </a:ext>
          </a:extLst>
        </xdr:cNvPr>
        <xdr:cNvSpPr txBox="1">
          <a:spLocks noChangeArrowheads="1"/>
        </xdr:cNvSpPr>
      </xdr:nvSpPr>
      <xdr:spPr bwMode="auto">
        <a:xfrm>
          <a:off x="3553460" y="222885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144</xdr:row>
      <xdr:rowOff>0</xdr:rowOff>
    </xdr:from>
    <xdr:ext cx="120015" cy="226369"/>
    <xdr:sp macro="" textlink="">
      <xdr:nvSpPr>
        <xdr:cNvPr id="745" name="Text Box 249">
          <a:extLst>
            <a:ext uri="{FF2B5EF4-FFF2-40B4-BE49-F238E27FC236}">
              <a16:creationId xmlns:a16="http://schemas.microsoft.com/office/drawing/2014/main" id="{9B5F089C-3450-4918-93B6-B7B4286CB043}"/>
            </a:ext>
          </a:extLst>
        </xdr:cNvPr>
        <xdr:cNvSpPr txBox="1">
          <a:spLocks noChangeArrowheads="1"/>
        </xdr:cNvSpPr>
      </xdr:nvSpPr>
      <xdr:spPr bwMode="auto">
        <a:xfrm>
          <a:off x="3553460" y="222885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46" name="Text Box 249">
          <a:extLst>
            <a:ext uri="{FF2B5EF4-FFF2-40B4-BE49-F238E27FC236}">
              <a16:creationId xmlns:a16="http://schemas.microsoft.com/office/drawing/2014/main" id="{A35A34DE-4424-41E9-89C4-330857EB91C5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2156460</xdr:colOff>
      <xdr:row>143</xdr:row>
      <xdr:rowOff>0</xdr:rowOff>
    </xdr:from>
    <xdr:ext cx="104775" cy="208801"/>
    <xdr:sp macro="" textlink="">
      <xdr:nvSpPr>
        <xdr:cNvPr id="747" name="Text Box 249">
          <a:extLst>
            <a:ext uri="{FF2B5EF4-FFF2-40B4-BE49-F238E27FC236}">
              <a16:creationId xmlns:a16="http://schemas.microsoft.com/office/drawing/2014/main" id="{89E2836A-C938-4ACB-9681-9C996AB31711}"/>
            </a:ext>
          </a:extLst>
        </xdr:cNvPr>
        <xdr:cNvSpPr txBox="1">
          <a:spLocks noChangeArrowheads="1"/>
        </xdr:cNvSpPr>
      </xdr:nvSpPr>
      <xdr:spPr bwMode="auto">
        <a:xfrm>
          <a:off x="320802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48" name="Text Box 249">
          <a:extLst>
            <a:ext uri="{FF2B5EF4-FFF2-40B4-BE49-F238E27FC236}">
              <a16:creationId xmlns:a16="http://schemas.microsoft.com/office/drawing/2014/main" id="{7EF05187-77FF-47BE-B762-EF0EDC0098C2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08801"/>
    <xdr:sp macro="" textlink="">
      <xdr:nvSpPr>
        <xdr:cNvPr id="749" name="Text Box 249">
          <a:extLst>
            <a:ext uri="{FF2B5EF4-FFF2-40B4-BE49-F238E27FC236}">
              <a16:creationId xmlns:a16="http://schemas.microsoft.com/office/drawing/2014/main" id="{502B9F1A-563F-4EC7-B0EB-D393EB4A1265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3036"/>
    <xdr:sp macro="" textlink="">
      <xdr:nvSpPr>
        <xdr:cNvPr id="750" name="Text Box 249">
          <a:extLst>
            <a:ext uri="{FF2B5EF4-FFF2-40B4-BE49-F238E27FC236}">
              <a16:creationId xmlns:a16="http://schemas.microsoft.com/office/drawing/2014/main" id="{F1AE72EC-4D20-4D0F-9859-D02392577A72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3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1714500</xdr:colOff>
      <xdr:row>143</xdr:row>
      <xdr:rowOff>0</xdr:rowOff>
    </xdr:from>
    <xdr:ext cx="104775" cy="208801"/>
    <xdr:sp macro="" textlink="">
      <xdr:nvSpPr>
        <xdr:cNvPr id="751" name="Text Box 249">
          <a:extLst>
            <a:ext uri="{FF2B5EF4-FFF2-40B4-BE49-F238E27FC236}">
              <a16:creationId xmlns:a16="http://schemas.microsoft.com/office/drawing/2014/main" id="{C88C8604-A49D-4BF7-A90D-288C1228AA8A}"/>
            </a:ext>
          </a:extLst>
        </xdr:cNvPr>
        <xdr:cNvSpPr txBox="1">
          <a:spLocks noChangeArrowheads="1"/>
        </xdr:cNvSpPr>
      </xdr:nvSpPr>
      <xdr:spPr bwMode="auto">
        <a:xfrm>
          <a:off x="2766060" y="220980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04775" cy="210011"/>
    <xdr:sp macro="" textlink="">
      <xdr:nvSpPr>
        <xdr:cNvPr id="752" name="Text Box 249">
          <a:extLst>
            <a:ext uri="{FF2B5EF4-FFF2-40B4-BE49-F238E27FC236}">
              <a16:creationId xmlns:a16="http://schemas.microsoft.com/office/drawing/2014/main" id="{511143F2-C639-40F6-BF48-A43CD14F3151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143</xdr:row>
      <xdr:rowOff>0</xdr:rowOff>
    </xdr:from>
    <xdr:ext cx="120015" cy="226369"/>
    <xdr:sp macro="" textlink="">
      <xdr:nvSpPr>
        <xdr:cNvPr id="753" name="Text Box 249">
          <a:extLst>
            <a:ext uri="{FF2B5EF4-FFF2-40B4-BE49-F238E27FC236}">
              <a16:creationId xmlns:a16="http://schemas.microsoft.com/office/drawing/2014/main" id="{084DEEE6-6E69-4EA9-A4B1-D51F190DC0C9}"/>
            </a:ext>
          </a:extLst>
        </xdr:cNvPr>
        <xdr:cNvSpPr txBox="1">
          <a:spLocks noChangeArrowheads="1"/>
        </xdr:cNvSpPr>
      </xdr:nvSpPr>
      <xdr:spPr bwMode="auto">
        <a:xfrm>
          <a:off x="3553460" y="22098000"/>
          <a:ext cx="120015" cy="226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170</xdr:row>
      <xdr:rowOff>0</xdr:rowOff>
    </xdr:from>
    <xdr:ext cx="104775" cy="213034"/>
    <xdr:sp macro="" textlink="">
      <xdr:nvSpPr>
        <xdr:cNvPr id="754" name="Text Box 249">
          <a:extLst>
            <a:ext uri="{FF2B5EF4-FFF2-40B4-BE49-F238E27FC236}">
              <a16:creationId xmlns:a16="http://schemas.microsoft.com/office/drawing/2014/main" id="{4D0B7A58-615F-49D6-B5F7-37DA8A374E5D}"/>
            </a:ext>
          </a:extLst>
        </xdr:cNvPr>
        <xdr:cNvSpPr txBox="1">
          <a:spLocks noChangeArrowheads="1"/>
        </xdr:cNvSpPr>
      </xdr:nvSpPr>
      <xdr:spPr bwMode="auto">
        <a:xfrm>
          <a:off x="3553460" y="27660600"/>
          <a:ext cx="104775" cy="2130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171</xdr:row>
      <xdr:rowOff>0</xdr:rowOff>
    </xdr:from>
    <xdr:ext cx="104775" cy="213034"/>
    <xdr:sp macro="" textlink="">
      <xdr:nvSpPr>
        <xdr:cNvPr id="755" name="Text Box 249">
          <a:extLst>
            <a:ext uri="{FF2B5EF4-FFF2-40B4-BE49-F238E27FC236}">
              <a16:creationId xmlns:a16="http://schemas.microsoft.com/office/drawing/2014/main" id="{EDD42D49-DFDC-40C4-AC9C-022263BDF874}"/>
            </a:ext>
          </a:extLst>
        </xdr:cNvPr>
        <xdr:cNvSpPr txBox="1">
          <a:spLocks noChangeArrowheads="1"/>
        </xdr:cNvSpPr>
      </xdr:nvSpPr>
      <xdr:spPr bwMode="auto">
        <a:xfrm>
          <a:off x="3553460" y="27660600"/>
          <a:ext cx="104775" cy="2130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2501900</xdr:colOff>
      <xdr:row>172</xdr:row>
      <xdr:rowOff>0</xdr:rowOff>
    </xdr:from>
    <xdr:ext cx="104775" cy="213034"/>
    <xdr:sp macro="" textlink="">
      <xdr:nvSpPr>
        <xdr:cNvPr id="756" name="Text Box 249">
          <a:extLst>
            <a:ext uri="{FF2B5EF4-FFF2-40B4-BE49-F238E27FC236}">
              <a16:creationId xmlns:a16="http://schemas.microsoft.com/office/drawing/2014/main" id="{898DF050-4C42-4E1C-9068-F3074440807B}"/>
            </a:ext>
          </a:extLst>
        </xdr:cNvPr>
        <xdr:cNvSpPr txBox="1">
          <a:spLocks noChangeArrowheads="1"/>
        </xdr:cNvSpPr>
      </xdr:nvSpPr>
      <xdr:spPr bwMode="auto">
        <a:xfrm>
          <a:off x="3553460" y="27835860"/>
          <a:ext cx="104775" cy="2130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2501900</xdr:colOff>
      <xdr:row>27</xdr:row>
      <xdr:rowOff>0</xdr:rowOff>
    </xdr:from>
    <xdr:to>
      <xdr:col>6</xdr:col>
      <xdr:colOff>122376</xdr:colOff>
      <xdr:row>28</xdr:row>
      <xdr:rowOff>50684</xdr:rowOff>
    </xdr:to>
    <xdr:sp macro="" textlink="">
      <xdr:nvSpPr>
        <xdr:cNvPr id="2" name="Text Box 249">
          <a:extLst>
            <a:ext uri="{FF2B5EF4-FFF2-40B4-BE49-F238E27FC236}">
              <a16:creationId xmlns:a16="http://schemas.microsoft.com/office/drawing/2014/main" id="{53F4DA28-6AB0-441E-A9BB-BB453844FC31}"/>
            </a:ext>
          </a:extLst>
        </xdr:cNvPr>
        <xdr:cNvSpPr txBox="1">
          <a:spLocks noChangeArrowheads="1"/>
        </xdr:cNvSpPr>
      </xdr:nvSpPr>
      <xdr:spPr bwMode="auto">
        <a:xfrm>
          <a:off x="3286760" y="13646150"/>
          <a:ext cx="120015" cy="215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3" name="Text Box 249">
          <a:extLst>
            <a:ext uri="{FF2B5EF4-FFF2-40B4-BE49-F238E27FC236}">
              <a16:creationId xmlns:a16="http://schemas.microsoft.com/office/drawing/2014/main" id="{B18F6166-F154-49AF-8775-6538EA80EA55}"/>
            </a:ext>
          </a:extLst>
        </xdr:cNvPr>
        <xdr:cNvSpPr txBox="1">
          <a:spLocks noChangeArrowheads="1"/>
        </xdr:cNvSpPr>
      </xdr:nvSpPr>
      <xdr:spPr bwMode="auto">
        <a:xfrm>
          <a:off x="2499360" y="19476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5" name="Text Box 249">
          <a:extLst>
            <a:ext uri="{FF2B5EF4-FFF2-40B4-BE49-F238E27FC236}">
              <a16:creationId xmlns:a16="http://schemas.microsoft.com/office/drawing/2014/main" id="{BB4C1040-A17A-4006-BD91-9342CCA57F00}"/>
            </a:ext>
          </a:extLst>
        </xdr:cNvPr>
        <xdr:cNvSpPr txBox="1">
          <a:spLocks noChangeArrowheads="1"/>
        </xdr:cNvSpPr>
      </xdr:nvSpPr>
      <xdr:spPr bwMode="auto">
        <a:xfrm>
          <a:off x="2499360" y="262585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6" name="Text Box 249">
          <a:extLst>
            <a:ext uri="{FF2B5EF4-FFF2-40B4-BE49-F238E27FC236}">
              <a16:creationId xmlns:a16="http://schemas.microsoft.com/office/drawing/2014/main" id="{D3C61809-C94D-42DC-8760-52C4F8BE8EBB}"/>
            </a:ext>
          </a:extLst>
        </xdr:cNvPr>
        <xdr:cNvSpPr txBox="1">
          <a:spLocks noChangeArrowheads="1"/>
        </xdr:cNvSpPr>
      </xdr:nvSpPr>
      <xdr:spPr bwMode="auto">
        <a:xfrm>
          <a:off x="2499360" y="271729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7" name="Text Box 249">
          <a:extLst>
            <a:ext uri="{FF2B5EF4-FFF2-40B4-BE49-F238E27FC236}">
              <a16:creationId xmlns:a16="http://schemas.microsoft.com/office/drawing/2014/main" id="{54CAC6F4-3833-471B-B86E-41318ECE5204}"/>
            </a:ext>
          </a:extLst>
        </xdr:cNvPr>
        <xdr:cNvSpPr txBox="1">
          <a:spLocks noChangeArrowheads="1"/>
        </xdr:cNvSpPr>
      </xdr:nvSpPr>
      <xdr:spPr bwMode="auto">
        <a:xfrm>
          <a:off x="2499360" y="31196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9" name="Text Box 249">
          <a:extLst>
            <a:ext uri="{FF2B5EF4-FFF2-40B4-BE49-F238E27FC236}">
              <a16:creationId xmlns:a16="http://schemas.microsoft.com/office/drawing/2014/main" id="{D7B99169-C561-4E78-83BD-51050D9C3016}"/>
            </a:ext>
          </a:extLst>
        </xdr:cNvPr>
        <xdr:cNvSpPr txBox="1">
          <a:spLocks noChangeArrowheads="1"/>
        </xdr:cNvSpPr>
      </xdr:nvSpPr>
      <xdr:spPr bwMode="auto">
        <a:xfrm>
          <a:off x="2499360" y="321106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10" name="Text Box 249">
          <a:extLst>
            <a:ext uri="{FF2B5EF4-FFF2-40B4-BE49-F238E27FC236}">
              <a16:creationId xmlns:a16="http://schemas.microsoft.com/office/drawing/2014/main" id="{198BF4F8-F5A0-4CAB-A75D-653BE7C6A66B}"/>
            </a:ext>
          </a:extLst>
        </xdr:cNvPr>
        <xdr:cNvSpPr txBox="1">
          <a:spLocks noChangeArrowheads="1"/>
        </xdr:cNvSpPr>
      </xdr:nvSpPr>
      <xdr:spPr bwMode="auto">
        <a:xfrm>
          <a:off x="2499360" y="45681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27</xdr:row>
      <xdr:rowOff>0</xdr:rowOff>
    </xdr:from>
    <xdr:ext cx="104775" cy="210011"/>
    <xdr:sp macro="" textlink="">
      <xdr:nvSpPr>
        <xdr:cNvPr id="11" name="Text Box 249">
          <a:extLst>
            <a:ext uri="{FF2B5EF4-FFF2-40B4-BE49-F238E27FC236}">
              <a16:creationId xmlns:a16="http://schemas.microsoft.com/office/drawing/2014/main" id="{918AECEB-B1BD-433E-BD7A-B1E14D2041D9}"/>
            </a:ext>
          </a:extLst>
        </xdr:cNvPr>
        <xdr:cNvSpPr txBox="1">
          <a:spLocks noChangeArrowheads="1"/>
        </xdr:cNvSpPr>
      </xdr:nvSpPr>
      <xdr:spPr bwMode="auto">
        <a:xfrm>
          <a:off x="3286760" y="35128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15</xdr:col>
      <xdr:colOff>492117</xdr:colOff>
      <xdr:row>0</xdr:row>
      <xdr:rowOff>39077</xdr:rowOff>
    </xdr:from>
    <xdr:to>
      <xdr:col>17</xdr:col>
      <xdr:colOff>59267</xdr:colOff>
      <xdr:row>2</xdr:row>
      <xdr:rowOff>64478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6A46B765-2FD0-4CB0-B14B-86572CFE4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11886" y="39077"/>
          <a:ext cx="1071612" cy="543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2501900</xdr:colOff>
      <xdr:row>118</xdr:row>
      <xdr:rowOff>0</xdr:rowOff>
    </xdr:from>
    <xdr:ext cx="119019" cy="220018"/>
    <xdr:sp macro="" textlink="">
      <xdr:nvSpPr>
        <xdr:cNvPr id="15" name="Text Box 249">
          <a:extLst>
            <a:ext uri="{FF2B5EF4-FFF2-40B4-BE49-F238E27FC236}">
              <a16:creationId xmlns:a16="http://schemas.microsoft.com/office/drawing/2014/main" id="{A5CA83FE-ADE3-4427-8BB7-7B42FD477C85}"/>
            </a:ext>
          </a:extLst>
        </xdr:cNvPr>
        <xdr:cNvSpPr txBox="1">
          <a:spLocks noChangeArrowheads="1"/>
        </xdr:cNvSpPr>
      </xdr:nvSpPr>
      <xdr:spPr bwMode="auto">
        <a:xfrm>
          <a:off x="9297247" y="5096933"/>
          <a:ext cx="119019" cy="2200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16" name="Text Box 249">
          <a:extLst>
            <a:ext uri="{FF2B5EF4-FFF2-40B4-BE49-F238E27FC236}">
              <a16:creationId xmlns:a16="http://schemas.microsoft.com/office/drawing/2014/main" id="{53166C40-2245-4869-AB2A-F10C8ED156C7}"/>
            </a:ext>
          </a:extLst>
        </xdr:cNvPr>
        <xdr:cNvSpPr txBox="1">
          <a:spLocks noChangeArrowheads="1"/>
        </xdr:cNvSpPr>
      </xdr:nvSpPr>
      <xdr:spPr bwMode="auto">
        <a:xfrm>
          <a:off x="9294707" y="50969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118</xdr:row>
      <xdr:rowOff>0</xdr:rowOff>
    </xdr:from>
    <xdr:ext cx="104775" cy="208801"/>
    <xdr:sp macro="" textlink="">
      <xdr:nvSpPr>
        <xdr:cNvPr id="17" name="Text Box 249">
          <a:extLst>
            <a:ext uri="{FF2B5EF4-FFF2-40B4-BE49-F238E27FC236}">
              <a16:creationId xmlns:a16="http://schemas.microsoft.com/office/drawing/2014/main" id="{7C578395-E706-4F0A-AD23-05EE67C4A5EC}"/>
            </a:ext>
          </a:extLst>
        </xdr:cNvPr>
        <xdr:cNvSpPr txBox="1">
          <a:spLocks noChangeArrowheads="1"/>
        </xdr:cNvSpPr>
      </xdr:nvSpPr>
      <xdr:spPr bwMode="auto">
        <a:xfrm>
          <a:off x="9297247" y="41232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18" name="Text Box 249">
          <a:extLst>
            <a:ext uri="{FF2B5EF4-FFF2-40B4-BE49-F238E27FC236}">
              <a16:creationId xmlns:a16="http://schemas.microsoft.com/office/drawing/2014/main" id="{54B09FA3-D4B7-4E5D-9D12-21103F8AA88E}"/>
            </a:ext>
          </a:extLst>
        </xdr:cNvPr>
        <xdr:cNvSpPr txBox="1">
          <a:spLocks noChangeArrowheads="1"/>
        </xdr:cNvSpPr>
      </xdr:nvSpPr>
      <xdr:spPr bwMode="auto">
        <a:xfrm>
          <a:off x="9294707" y="50969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19" name="Text Box 249">
          <a:extLst>
            <a:ext uri="{FF2B5EF4-FFF2-40B4-BE49-F238E27FC236}">
              <a16:creationId xmlns:a16="http://schemas.microsoft.com/office/drawing/2014/main" id="{08A3C0FA-A3B7-4385-A0FF-8C5DE9DFB7FD}"/>
            </a:ext>
          </a:extLst>
        </xdr:cNvPr>
        <xdr:cNvSpPr txBox="1">
          <a:spLocks noChangeArrowheads="1"/>
        </xdr:cNvSpPr>
      </xdr:nvSpPr>
      <xdr:spPr bwMode="auto">
        <a:xfrm>
          <a:off x="9294707" y="50969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20" name="Text Box 249">
          <a:extLst>
            <a:ext uri="{FF2B5EF4-FFF2-40B4-BE49-F238E27FC236}">
              <a16:creationId xmlns:a16="http://schemas.microsoft.com/office/drawing/2014/main" id="{A5788993-173C-4C7A-8CDB-F76BC6667AFA}"/>
            </a:ext>
          </a:extLst>
        </xdr:cNvPr>
        <xdr:cNvSpPr txBox="1">
          <a:spLocks noChangeArrowheads="1"/>
        </xdr:cNvSpPr>
      </xdr:nvSpPr>
      <xdr:spPr bwMode="auto">
        <a:xfrm>
          <a:off x="9294707" y="50969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118</xdr:row>
      <xdr:rowOff>0</xdr:rowOff>
    </xdr:from>
    <xdr:ext cx="119019" cy="205413"/>
    <xdr:sp macro="" textlink="">
      <xdr:nvSpPr>
        <xdr:cNvPr id="21" name="Text Box 249">
          <a:extLst>
            <a:ext uri="{FF2B5EF4-FFF2-40B4-BE49-F238E27FC236}">
              <a16:creationId xmlns:a16="http://schemas.microsoft.com/office/drawing/2014/main" id="{5BE5D256-1FDC-4277-AE72-4C1B6822C457}"/>
            </a:ext>
          </a:extLst>
        </xdr:cNvPr>
        <xdr:cNvSpPr txBox="1">
          <a:spLocks noChangeArrowheads="1"/>
        </xdr:cNvSpPr>
      </xdr:nvSpPr>
      <xdr:spPr bwMode="auto">
        <a:xfrm>
          <a:off x="9297247" y="5096933"/>
          <a:ext cx="119019" cy="20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22" name="Text Box 249">
          <a:extLst>
            <a:ext uri="{FF2B5EF4-FFF2-40B4-BE49-F238E27FC236}">
              <a16:creationId xmlns:a16="http://schemas.microsoft.com/office/drawing/2014/main" id="{56D796C2-7BA5-427A-BCA0-3B72E7BAF4AD}"/>
            </a:ext>
          </a:extLst>
        </xdr:cNvPr>
        <xdr:cNvSpPr txBox="1">
          <a:spLocks noChangeArrowheads="1"/>
        </xdr:cNvSpPr>
      </xdr:nvSpPr>
      <xdr:spPr bwMode="auto">
        <a:xfrm>
          <a:off x="9294707" y="50969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23" name="Text Box 249">
          <a:extLst>
            <a:ext uri="{FF2B5EF4-FFF2-40B4-BE49-F238E27FC236}">
              <a16:creationId xmlns:a16="http://schemas.microsoft.com/office/drawing/2014/main" id="{48C5775F-6C8F-4719-A33D-C558B726B9A7}"/>
            </a:ext>
          </a:extLst>
        </xdr:cNvPr>
        <xdr:cNvSpPr txBox="1">
          <a:spLocks noChangeArrowheads="1"/>
        </xdr:cNvSpPr>
      </xdr:nvSpPr>
      <xdr:spPr bwMode="auto">
        <a:xfrm>
          <a:off x="9294707" y="50969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118</xdr:row>
      <xdr:rowOff>0</xdr:rowOff>
    </xdr:from>
    <xdr:ext cx="120015" cy="220019"/>
    <xdr:sp macro="" textlink="">
      <xdr:nvSpPr>
        <xdr:cNvPr id="25" name="Text Box 249">
          <a:extLst>
            <a:ext uri="{FF2B5EF4-FFF2-40B4-BE49-F238E27FC236}">
              <a16:creationId xmlns:a16="http://schemas.microsoft.com/office/drawing/2014/main" id="{F64D6A07-87C9-490E-9A08-3044945298AB}"/>
            </a:ext>
          </a:extLst>
        </xdr:cNvPr>
        <xdr:cNvSpPr txBox="1">
          <a:spLocks noChangeArrowheads="1"/>
        </xdr:cNvSpPr>
      </xdr:nvSpPr>
      <xdr:spPr bwMode="auto">
        <a:xfrm>
          <a:off x="9297247" y="4123267"/>
          <a:ext cx="120015" cy="220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118</xdr:row>
      <xdr:rowOff>0</xdr:rowOff>
    </xdr:from>
    <xdr:ext cx="120015" cy="220019"/>
    <xdr:sp macro="" textlink="">
      <xdr:nvSpPr>
        <xdr:cNvPr id="26" name="Text Box 249">
          <a:extLst>
            <a:ext uri="{FF2B5EF4-FFF2-40B4-BE49-F238E27FC236}">
              <a16:creationId xmlns:a16="http://schemas.microsoft.com/office/drawing/2014/main" id="{AD498437-6E7D-4CBD-AA1A-3C116C3C7957}"/>
            </a:ext>
          </a:extLst>
        </xdr:cNvPr>
        <xdr:cNvSpPr txBox="1">
          <a:spLocks noChangeArrowheads="1"/>
        </xdr:cNvSpPr>
      </xdr:nvSpPr>
      <xdr:spPr bwMode="auto">
        <a:xfrm>
          <a:off x="9297247" y="4123267"/>
          <a:ext cx="120015" cy="220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</xdr:row>
      <xdr:rowOff>0</xdr:rowOff>
    </xdr:from>
    <xdr:ext cx="117326" cy="218324"/>
    <xdr:sp macro="" textlink="">
      <xdr:nvSpPr>
        <xdr:cNvPr id="24" name="Text Box 249">
          <a:extLst>
            <a:ext uri="{FF2B5EF4-FFF2-40B4-BE49-F238E27FC236}">
              <a16:creationId xmlns:a16="http://schemas.microsoft.com/office/drawing/2014/main" id="{58524D41-D292-4E95-B926-67948A167772}"/>
            </a:ext>
          </a:extLst>
        </xdr:cNvPr>
        <xdr:cNvSpPr txBox="1">
          <a:spLocks noChangeArrowheads="1"/>
        </xdr:cNvSpPr>
      </xdr:nvSpPr>
      <xdr:spPr bwMode="auto">
        <a:xfrm>
          <a:off x="8308340" y="56159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27" name="Text Box 249">
          <a:extLst>
            <a:ext uri="{FF2B5EF4-FFF2-40B4-BE49-F238E27FC236}">
              <a16:creationId xmlns:a16="http://schemas.microsoft.com/office/drawing/2014/main" id="{F0D980EC-E954-4AF7-B201-73CA1D00C8A8}"/>
            </a:ext>
          </a:extLst>
        </xdr:cNvPr>
        <xdr:cNvSpPr txBox="1">
          <a:spLocks noChangeArrowheads="1"/>
        </xdr:cNvSpPr>
      </xdr:nvSpPr>
      <xdr:spPr bwMode="auto">
        <a:xfrm>
          <a:off x="8305800" y="5615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28" name="Text Box 249">
          <a:extLst>
            <a:ext uri="{FF2B5EF4-FFF2-40B4-BE49-F238E27FC236}">
              <a16:creationId xmlns:a16="http://schemas.microsoft.com/office/drawing/2014/main" id="{0B2C5327-253A-4BE0-A3F5-F23E173E3746}"/>
            </a:ext>
          </a:extLst>
        </xdr:cNvPr>
        <xdr:cNvSpPr txBox="1">
          <a:spLocks noChangeArrowheads="1"/>
        </xdr:cNvSpPr>
      </xdr:nvSpPr>
      <xdr:spPr bwMode="auto">
        <a:xfrm>
          <a:off x="8305800" y="5615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29" name="Text Box 249">
          <a:extLst>
            <a:ext uri="{FF2B5EF4-FFF2-40B4-BE49-F238E27FC236}">
              <a16:creationId xmlns:a16="http://schemas.microsoft.com/office/drawing/2014/main" id="{BBBC847E-6F27-4B58-BCC4-FB14D1740E25}"/>
            </a:ext>
          </a:extLst>
        </xdr:cNvPr>
        <xdr:cNvSpPr txBox="1">
          <a:spLocks noChangeArrowheads="1"/>
        </xdr:cNvSpPr>
      </xdr:nvSpPr>
      <xdr:spPr bwMode="auto">
        <a:xfrm>
          <a:off x="8305800" y="5615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30" name="Text Box 249">
          <a:extLst>
            <a:ext uri="{FF2B5EF4-FFF2-40B4-BE49-F238E27FC236}">
              <a16:creationId xmlns:a16="http://schemas.microsoft.com/office/drawing/2014/main" id="{9AC4F0A0-40B6-4E3C-A30A-745989431D5A}"/>
            </a:ext>
          </a:extLst>
        </xdr:cNvPr>
        <xdr:cNvSpPr txBox="1">
          <a:spLocks noChangeArrowheads="1"/>
        </xdr:cNvSpPr>
      </xdr:nvSpPr>
      <xdr:spPr bwMode="auto">
        <a:xfrm>
          <a:off x="8305800" y="5615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31" name="Text Box 249">
          <a:extLst>
            <a:ext uri="{FF2B5EF4-FFF2-40B4-BE49-F238E27FC236}">
              <a16:creationId xmlns:a16="http://schemas.microsoft.com/office/drawing/2014/main" id="{68AFF4C6-2EEB-41DD-85BB-0CCF5702DAA0}"/>
            </a:ext>
          </a:extLst>
        </xdr:cNvPr>
        <xdr:cNvSpPr txBox="1">
          <a:spLocks noChangeArrowheads="1"/>
        </xdr:cNvSpPr>
      </xdr:nvSpPr>
      <xdr:spPr bwMode="auto">
        <a:xfrm>
          <a:off x="8305800" y="5615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32" name="Text Box 249">
          <a:extLst>
            <a:ext uri="{FF2B5EF4-FFF2-40B4-BE49-F238E27FC236}">
              <a16:creationId xmlns:a16="http://schemas.microsoft.com/office/drawing/2014/main" id="{725AEC02-84D1-41AD-A4F9-EEF4847AF345}"/>
            </a:ext>
          </a:extLst>
        </xdr:cNvPr>
        <xdr:cNvSpPr txBox="1">
          <a:spLocks noChangeArrowheads="1"/>
        </xdr:cNvSpPr>
      </xdr:nvSpPr>
      <xdr:spPr bwMode="auto">
        <a:xfrm>
          <a:off x="8305800" y="5615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</xdr:row>
      <xdr:rowOff>0</xdr:rowOff>
    </xdr:from>
    <xdr:ext cx="104775" cy="210011"/>
    <xdr:sp macro="" textlink="">
      <xdr:nvSpPr>
        <xdr:cNvPr id="33" name="Text Box 249">
          <a:extLst>
            <a:ext uri="{FF2B5EF4-FFF2-40B4-BE49-F238E27FC236}">
              <a16:creationId xmlns:a16="http://schemas.microsoft.com/office/drawing/2014/main" id="{60069212-34CB-4590-ABF2-321BC77E6BDA}"/>
            </a:ext>
          </a:extLst>
        </xdr:cNvPr>
        <xdr:cNvSpPr txBox="1">
          <a:spLocks noChangeArrowheads="1"/>
        </xdr:cNvSpPr>
      </xdr:nvSpPr>
      <xdr:spPr bwMode="auto">
        <a:xfrm>
          <a:off x="8308340" y="56159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</xdr:row>
      <xdr:rowOff>0</xdr:rowOff>
    </xdr:from>
    <xdr:ext cx="117326" cy="218324"/>
    <xdr:sp macro="" textlink="">
      <xdr:nvSpPr>
        <xdr:cNvPr id="34" name="Text Box 249">
          <a:extLst>
            <a:ext uri="{FF2B5EF4-FFF2-40B4-BE49-F238E27FC236}">
              <a16:creationId xmlns:a16="http://schemas.microsoft.com/office/drawing/2014/main" id="{A22BA8E0-DD1F-421E-9D7F-1583280BA3FE}"/>
            </a:ext>
          </a:extLst>
        </xdr:cNvPr>
        <xdr:cNvSpPr txBox="1">
          <a:spLocks noChangeArrowheads="1"/>
        </xdr:cNvSpPr>
      </xdr:nvSpPr>
      <xdr:spPr bwMode="auto">
        <a:xfrm>
          <a:off x="9283700" y="116586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35" name="Text Box 249">
          <a:extLst>
            <a:ext uri="{FF2B5EF4-FFF2-40B4-BE49-F238E27FC236}">
              <a16:creationId xmlns:a16="http://schemas.microsoft.com/office/drawing/2014/main" id="{30924A7B-52A7-4C4F-8214-A94BE7C114E0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36" name="Text Box 249">
          <a:extLst>
            <a:ext uri="{FF2B5EF4-FFF2-40B4-BE49-F238E27FC236}">
              <a16:creationId xmlns:a16="http://schemas.microsoft.com/office/drawing/2014/main" id="{7339C1D4-0DFA-4EE4-9D8D-F1F5378099C2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37" name="Text Box 249">
          <a:extLst>
            <a:ext uri="{FF2B5EF4-FFF2-40B4-BE49-F238E27FC236}">
              <a16:creationId xmlns:a16="http://schemas.microsoft.com/office/drawing/2014/main" id="{AE913490-473F-4D9D-A75A-5961CCF0AD16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38" name="Text Box 249">
          <a:extLst>
            <a:ext uri="{FF2B5EF4-FFF2-40B4-BE49-F238E27FC236}">
              <a16:creationId xmlns:a16="http://schemas.microsoft.com/office/drawing/2014/main" id="{A990B6A2-FA8C-483E-8F6A-AA33AF52DC79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39" name="Text Box 249">
          <a:extLst>
            <a:ext uri="{FF2B5EF4-FFF2-40B4-BE49-F238E27FC236}">
              <a16:creationId xmlns:a16="http://schemas.microsoft.com/office/drawing/2014/main" id="{4B91DC26-82B7-4FCA-8830-4B605ADFDCF4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40" name="Text Box 249">
          <a:extLst>
            <a:ext uri="{FF2B5EF4-FFF2-40B4-BE49-F238E27FC236}">
              <a16:creationId xmlns:a16="http://schemas.microsoft.com/office/drawing/2014/main" id="{AB4227D2-BF56-4644-87F4-5D7841EE1223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</xdr:row>
      <xdr:rowOff>0</xdr:rowOff>
    </xdr:from>
    <xdr:ext cx="104775" cy="210011"/>
    <xdr:sp macro="" textlink="">
      <xdr:nvSpPr>
        <xdr:cNvPr id="41" name="Text Box 249">
          <a:extLst>
            <a:ext uri="{FF2B5EF4-FFF2-40B4-BE49-F238E27FC236}">
              <a16:creationId xmlns:a16="http://schemas.microsoft.com/office/drawing/2014/main" id="{1548BAE8-8525-44E0-85F9-DDC478EF2801}"/>
            </a:ext>
          </a:extLst>
        </xdr:cNvPr>
        <xdr:cNvSpPr txBox="1">
          <a:spLocks noChangeArrowheads="1"/>
        </xdr:cNvSpPr>
      </xdr:nvSpPr>
      <xdr:spPr bwMode="auto">
        <a:xfrm>
          <a:off x="9283700" y="116586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</xdr:row>
      <xdr:rowOff>0</xdr:rowOff>
    </xdr:from>
    <xdr:ext cx="117326" cy="218324"/>
    <xdr:sp macro="" textlink="">
      <xdr:nvSpPr>
        <xdr:cNvPr id="42" name="Text Box 249">
          <a:extLst>
            <a:ext uri="{FF2B5EF4-FFF2-40B4-BE49-F238E27FC236}">
              <a16:creationId xmlns:a16="http://schemas.microsoft.com/office/drawing/2014/main" id="{B0872AC1-C8DC-4691-8D04-8393FD874681}"/>
            </a:ext>
          </a:extLst>
        </xdr:cNvPr>
        <xdr:cNvSpPr txBox="1">
          <a:spLocks noChangeArrowheads="1"/>
        </xdr:cNvSpPr>
      </xdr:nvSpPr>
      <xdr:spPr bwMode="auto">
        <a:xfrm>
          <a:off x="9283700" y="119938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43" name="Text Box 249">
          <a:extLst>
            <a:ext uri="{FF2B5EF4-FFF2-40B4-BE49-F238E27FC236}">
              <a16:creationId xmlns:a16="http://schemas.microsoft.com/office/drawing/2014/main" id="{BE8A0959-B368-45F7-8106-7F32FE449A01}"/>
            </a:ext>
          </a:extLst>
        </xdr:cNvPr>
        <xdr:cNvSpPr txBox="1">
          <a:spLocks noChangeArrowheads="1"/>
        </xdr:cNvSpPr>
      </xdr:nvSpPr>
      <xdr:spPr bwMode="auto">
        <a:xfrm>
          <a:off x="9281160" y="11993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44" name="Text Box 249">
          <a:extLst>
            <a:ext uri="{FF2B5EF4-FFF2-40B4-BE49-F238E27FC236}">
              <a16:creationId xmlns:a16="http://schemas.microsoft.com/office/drawing/2014/main" id="{8F844C55-7B0F-41F7-868D-547FC5B5E500}"/>
            </a:ext>
          </a:extLst>
        </xdr:cNvPr>
        <xdr:cNvSpPr txBox="1">
          <a:spLocks noChangeArrowheads="1"/>
        </xdr:cNvSpPr>
      </xdr:nvSpPr>
      <xdr:spPr bwMode="auto">
        <a:xfrm>
          <a:off x="9281160" y="11993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45" name="Text Box 249">
          <a:extLst>
            <a:ext uri="{FF2B5EF4-FFF2-40B4-BE49-F238E27FC236}">
              <a16:creationId xmlns:a16="http://schemas.microsoft.com/office/drawing/2014/main" id="{5792CFE3-14CF-4F23-BA46-9F1E840BAB37}"/>
            </a:ext>
          </a:extLst>
        </xdr:cNvPr>
        <xdr:cNvSpPr txBox="1">
          <a:spLocks noChangeArrowheads="1"/>
        </xdr:cNvSpPr>
      </xdr:nvSpPr>
      <xdr:spPr bwMode="auto">
        <a:xfrm>
          <a:off x="9281160" y="11993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46" name="Text Box 249">
          <a:extLst>
            <a:ext uri="{FF2B5EF4-FFF2-40B4-BE49-F238E27FC236}">
              <a16:creationId xmlns:a16="http://schemas.microsoft.com/office/drawing/2014/main" id="{91EED3DC-FB5E-4F29-B729-0D1BA4CEE892}"/>
            </a:ext>
          </a:extLst>
        </xdr:cNvPr>
        <xdr:cNvSpPr txBox="1">
          <a:spLocks noChangeArrowheads="1"/>
        </xdr:cNvSpPr>
      </xdr:nvSpPr>
      <xdr:spPr bwMode="auto">
        <a:xfrm>
          <a:off x="9281160" y="11993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47" name="Text Box 249">
          <a:extLst>
            <a:ext uri="{FF2B5EF4-FFF2-40B4-BE49-F238E27FC236}">
              <a16:creationId xmlns:a16="http://schemas.microsoft.com/office/drawing/2014/main" id="{7039BC34-04CB-4979-BDA8-4D54BCCAB75F}"/>
            </a:ext>
          </a:extLst>
        </xdr:cNvPr>
        <xdr:cNvSpPr txBox="1">
          <a:spLocks noChangeArrowheads="1"/>
        </xdr:cNvSpPr>
      </xdr:nvSpPr>
      <xdr:spPr bwMode="auto">
        <a:xfrm>
          <a:off x="9281160" y="11993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48" name="Text Box 249">
          <a:extLst>
            <a:ext uri="{FF2B5EF4-FFF2-40B4-BE49-F238E27FC236}">
              <a16:creationId xmlns:a16="http://schemas.microsoft.com/office/drawing/2014/main" id="{6C4ACC45-8100-42EA-BB58-07DBEBD21823}"/>
            </a:ext>
          </a:extLst>
        </xdr:cNvPr>
        <xdr:cNvSpPr txBox="1">
          <a:spLocks noChangeArrowheads="1"/>
        </xdr:cNvSpPr>
      </xdr:nvSpPr>
      <xdr:spPr bwMode="auto">
        <a:xfrm>
          <a:off x="9281160" y="11993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</xdr:row>
      <xdr:rowOff>0</xdr:rowOff>
    </xdr:from>
    <xdr:ext cx="104775" cy="210011"/>
    <xdr:sp macro="" textlink="">
      <xdr:nvSpPr>
        <xdr:cNvPr id="49" name="Text Box 249">
          <a:extLst>
            <a:ext uri="{FF2B5EF4-FFF2-40B4-BE49-F238E27FC236}">
              <a16:creationId xmlns:a16="http://schemas.microsoft.com/office/drawing/2014/main" id="{6F601FB9-381D-410D-846D-C467564278DD}"/>
            </a:ext>
          </a:extLst>
        </xdr:cNvPr>
        <xdr:cNvSpPr txBox="1">
          <a:spLocks noChangeArrowheads="1"/>
        </xdr:cNvSpPr>
      </xdr:nvSpPr>
      <xdr:spPr bwMode="auto">
        <a:xfrm>
          <a:off x="9283700" y="119938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</xdr:row>
      <xdr:rowOff>0</xdr:rowOff>
    </xdr:from>
    <xdr:ext cx="117326" cy="218324"/>
    <xdr:sp macro="" textlink="">
      <xdr:nvSpPr>
        <xdr:cNvPr id="50" name="Text Box 249">
          <a:extLst>
            <a:ext uri="{FF2B5EF4-FFF2-40B4-BE49-F238E27FC236}">
              <a16:creationId xmlns:a16="http://schemas.microsoft.com/office/drawing/2014/main" id="{09530C3E-0366-4375-A7AB-1F19AA355BD8}"/>
            </a:ext>
          </a:extLst>
        </xdr:cNvPr>
        <xdr:cNvSpPr txBox="1">
          <a:spLocks noChangeArrowheads="1"/>
        </xdr:cNvSpPr>
      </xdr:nvSpPr>
      <xdr:spPr bwMode="auto">
        <a:xfrm>
          <a:off x="9283700" y="12496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51" name="Text Box 249">
          <a:extLst>
            <a:ext uri="{FF2B5EF4-FFF2-40B4-BE49-F238E27FC236}">
              <a16:creationId xmlns:a16="http://schemas.microsoft.com/office/drawing/2014/main" id="{1DB08A0F-65F2-4D9A-AE83-8BDC34F754F2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52" name="Text Box 249">
          <a:extLst>
            <a:ext uri="{FF2B5EF4-FFF2-40B4-BE49-F238E27FC236}">
              <a16:creationId xmlns:a16="http://schemas.microsoft.com/office/drawing/2014/main" id="{E002DBE6-D92C-43DC-85D1-D0C7FEEFC7C4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53" name="Text Box 249">
          <a:extLst>
            <a:ext uri="{FF2B5EF4-FFF2-40B4-BE49-F238E27FC236}">
              <a16:creationId xmlns:a16="http://schemas.microsoft.com/office/drawing/2014/main" id="{3DE23908-E2CD-4D80-B689-D23CA18B8FDB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54" name="Text Box 249">
          <a:extLst>
            <a:ext uri="{FF2B5EF4-FFF2-40B4-BE49-F238E27FC236}">
              <a16:creationId xmlns:a16="http://schemas.microsoft.com/office/drawing/2014/main" id="{616C046F-C318-4C82-841F-C8FE9BDCA79F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55" name="Text Box 249">
          <a:extLst>
            <a:ext uri="{FF2B5EF4-FFF2-40B4-BE49-F238E27FC236}">
              <a16:creationId xmlns:a16="http://schemas.microsoft.com/office/drawing/2014/main" id="{CA0AA2AA-9BEB-460D-AFA1-B2F75070213C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56" name="Text Box 249">
          <a:extLst>
            <a:ext uri="{FF2B5EF4-FFF2-40B4-BE49-F238E27FC236}">
              <a16:creationId xmlns:a16="http://schemas.microsoft.com/office/drawing/2014/main" id="{DEEE6F37-66AF-4940-B93A-6E90DC78D3DB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</xdr:row>
      <xdr:rowOff>0</xdr:rowOff>
    </xdr:from>
    <xdr:ext cx="104775" cy="210011"/>
    <xdr:sp macro="" textlink="">
      <xdr:nvSpPr>
        <xdr:cNvPr id="57" name="Text Box 249">
          <a:extLst>
            <a:ext uri="{FF2B5EF4-FFF2-40B4-BE49-F238E27FC236}">
              <a16:creationId xmlns:a16="http://schemas.microsoft.com/office/drawing/2014/main" id="{75FA5F69-1CD0-468E-809D-59A14FD9E52F}"/>
            </a:ext>
          </a:extLst>
        </xdr:cNvPr>
        <xdr:cNvSpPr txBox="1">
          <a:spLocks noChangeArrowheads="1"/>
        </xdr:cNvSpPr>
      </xdr:nvSpPr>
      <xdr:spPr bwMode="auto">
        <a:xfrm>
          <a:off x="9283700" y="12496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68</xdr:row>
      <xdr:rowOff>0</xdr:rowOff>
    </xdr:from>
    <xdr:ext cx="117326" cy="218324"/>
    <xdr:sp macro="" textlink="">
      <xdr:nvSpPr>
        <xdr:cNvPr id="58" name="Text Box 249">
          <a:extLst>
            <a:ext uri="{FF2B5EF4-FFF2-40B4-BE49-F238E27FC236}">
              <a16:creationId xmlns:a16="http://schemas.microsoft.com/office/drawing/2014/main" id="{A39AA2D3-536F-40F7-8429-C6FF2C379067}"/>
            </a:ext>
          </a:extLst>
        </xdr:cNvPr>
        <xdr:cNvSpPr txBox="1">
          <a:spLocks noChangeArrowheads="1"/>
        </xdr:cNvSpPr>
      </xdr:nvSpPr>
      <xdr:spPr bwMode="auto">
        <a:xfrm>
          <a:off x="9283700" y="12496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59" name="Text Box 249">
          <a:extLst>
            <a:ext uri="{FF2B5EF4-FFF2-40B4-BE49-F238E27FC236}">
              <a16:creationId xmlns:a16="http://schemas.microsoft.com/office/drawing/2014/main" id="{20478AAE-550D-4EE7-B802-43C2387F1F1C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60" name="Text Box 249">
          <a:extLst>
            <a:ext uri="{FF2B5EF4-FFF2-40B4-BE49-F238E27FC236}">
              <a16:creationId xmlns:a16="http://schemas.microsoft.com/office/drawing/2014/main" id="{D32C4C9E-BCEB-4513-AB59-88C5444C17D8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61" name="Text Box 249">
          <a:extLst>
            <a:ext uri="{FF2B5EF4-FFF2-40B4-BE49-F238E27FC236}">
              <a16:creationId xmlns:a16="http://schemas.microsoft.com/office/drawing/2014/main" id="{6A1180BF-1E5D-4653-B3A6-2001C69A4EE8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62" name="Text Box 249">
          <a:extLst>
            <a:ext uri="{FF2B5EF4-FFF2-40B4-BE49-F238E27FC236}">
              <a16:creationId xmlns:a16="http://schemas.microsoft.com/office/drawing/2014/main" id="{FF798345-0E1B-4D38-917C-AD34AEB3A7E4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63" name="Text Box 249">
          <a:extLst>
            <a:ext uri="{FF2B5EF4-FFF2-40B4-BE49-F238E27FC236}">
              <a16:creationId xmlns:a16="http://schemas.microsoft.com/office/drawing/2014/main" id="{4FE53C33-9C1E-428B-97A6-12794CDAA3D3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64" name="Text Box 249">
          <a:extLst>
            <a:ext uri="{FF2B5EF4-FFF2-40B4-BE49-F238E27FC236}">
              <a16:creationId xmlns:a16="http://schemas.microsoft.com/office/drawing/2014/main" id="{AA1D169E-3F7D-4208-864C-B43900A4FC54}"/>
            </a:ext>
          </a:extLst>
        </xdr:cNvPr>
        <xdr:cNvSpPr txBox="1">
          <a:spLocks noChangeArrowheads="1"/>
        </xdr:cNvSpPr>
      </xdr:nvSpPr>
      <xdr:spPr bwMode="auto">
        <a:xfrm>
          <a:off x="9281160" y="12496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68</xdr:row>
      <xdr:rowOff>0</xdr:rowOff>
    </xdr:from>
    <xdr:ext cx="104775" cy="210011"/>
    <xdr:sp macro="" textlink="">
      <xdr:nvSpPr>
        <xdr:cNvPr id="65" name="Text Box 249">
          <a:extLst>
            <a:ext uri="{FF2B5EF4-FFF2-40B4-BE49-F238E27FC236}">
              <a16:creationId xmlns:a16="http://schemas.microsoft.com/office/drawing/2014/main" id="{DFFAAB5D-9BBF-483D-B29F-1CBB5CB7B9CF}"/>
            </a:ext>
          </a:extLst>
        </xdr:cNvPr>
        <xdr:cNvSpPr txBox="1">
          <a:spLocks noChangeArrowheads="1"/>
        </xdr:cNvSpPr>
      </xdr:nvSpPr>
      <xdr:spPr bwMode="auto">
        <a:xfrm>
          <a:off x="9283700" y="12496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</xdr:row>
      <xdr:rowOff>0</xdr:rowOff>
    </xdr:from>
    <xdr:ext cx="117326" cy="218324"/>
    <xdr:sp macro="" textlink="">
      <xdr:nvSpPr>
        <xdr:cNvPr id="66" name="Text Box 249">
          <a:extLst>
            <a:ext uri="{FF2B5EF4-FFF2-40B4-BE49-F238E27FC236}">
              <a16:creationId xmlns:a16="http://schemas.microsoft.com/office/drawing/2014/main" id="{478DEBB2-026C-436B-9D8F-19A889648D6D}"/>
            </a:ext>
          </a:extLst>
        </xdr:cNvPr>
        <xdr:cNvSpPr txBox="1">
          <a:spLocks noChangeArrowheads="1"/>
        </xdr:cNvSpPr>
      </xdr:nvSpPr>
      <xdr:spPr bwMode="auto">
        <a:xfrm>
          <a:off x="9283700" y="116586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67" name="Text Box 249">
          <a:extLst>
            <a:ext uri="{FF2B5EF4-FFF2-40B4-BE49-F238E27FC236}">
              <a16:creationId xmlns:a16="http://schemas.microsoft.com/office/drawing/2014/main" id="{63F9B290-7146-4CF0-962E-0A65D50BC908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68" name="Text Box 249">
          <a:extLst>
            <a:ext uri="{FF2B5EF4-FFF2-40B4-BE49-F238E27FC236}">
              <a16:creationId xmlns:a16="http://schemas.microsoft.com/office/drawing/2014/main" id="{8CD35E87-075B-46FD-BF45-0EB514F100AF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69" name="Text Box 249">
          <a:extLst>
            <a:ext uri="{FF2B5EF4-FFF2-40B4-BE49-F238E27FC236}">
              <a16:creationId xmlns:a16="http://schemas.microsoft.com/office/drawing/2014/main" id="{473D11DA-5C32-4172-8C1E-94A9232A7684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70" name="Text Box 249">
          <a:extLst>
            <a:ext uri="{FF2B5EF4-FFF2-40B4-BE49-F238E27FC236}">
              <a16:creationId xmlns:a16="http://schemas.microsoft.com/office/drawing/2014/main" id="{E2BDA37A-D7CC-4F4C-97C9-5CCEF66B6549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71" name="Text Box 249">
          <a:extLst>
            <a:ext uri="{FF2B5EF4-FFF2-40B4-BE49-F238E27FC236}">
              <a16:creationId xmlns:a16="http://schemas.microsoft.com/office/drawing/2014/main" id="{6FF60BF5-0E61-4EFC-9477-29E75B5E1904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72" name="Text Box 249">
          <a:extLst>
            <a:ext uri="{FF2B5EF4-FFF2-40B4-BE49-F238E27FC236}">
              <a16:creationId xmlns:a16="http://schemas.microsoft.com/office/drawing/2014/main" id="{75A44A24-1107-4A92-BE4E-8ADB2717D492}"/>
            </a:ext>
          </a:extLst>
        </xdr:cNvPr>
        <xdr:cNvSpPr txBox="1">
          <a:spLocks noChangeArrowheads="1"/>
        </xdr:cNvSpPr>
      </xdr:nvSpPr>
      <xdr:spPr bwMode="auto">
        <a:xfrm>
          <a:off x="9281160" y="11658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</xdr:row>
      <xdr:rowOff>0</xdr:rowOff>
    </xdr:from>
    <xdr:ext cx="104775" cy="210011"/>
    <xdr:sp macro="" textlink="">
      <xdr:nvSpPr>
        <xdr:cNvPr id="73" name="Text Box 249">
          <a:extLst>
            <a:ext uri="{FF2B5EF4-FFF2-40B4-BE49-F238E27FC236}">
              <a16:creationId xmlns:a16="http://schemas.microsoft.com/office/drawing/2014/main" id="{6901C804-DC78-4F5D-8225-AEE00770E17E}"/>
            </a:ext>
          </a:extLst>
        </xdr:cNvPr>
        <xdr:cNvSpPr txBox="1">
          <a:spLocks noChangeArrowheads="1"/>
        </xdr:cNvSpPr>
      </xdr:nvSpPr>
      <xdr:spPr bwMode="auto">
        <a:xfrm>
          <a:off x="9283700" y="116586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625</xdr:row>
      <xdr:rowOff>0</xdr:rowOff>
    </xdr:from>
    <xdr:ext cx="117326" cy="218324"/>
    <xdr:sp macro="" textlink="">
      <xdr:nvSpPr>
        <xdr:cNvPr id="74" name="Text Box 249">
          <a:extLst>
            <a:ext uri="{FF2B5EF4-FFF2-40B4-BE49-F238E27FC236}">
              <a16:creationId xmlns:a16="http://schemas.microsoft.com/office/drawing/2014/main" id="{198B2239-6CCC-4CCA-A8B0-4EA3365F37AB}"/>
            </a:ext>
          </a:extLst>
        </xdr:cNvPr>
        <xdr:cNvSpPr txBox="1">
          <a:spLocks noChangeArrowheads="1"/>
        </xdr:cNvSpPr>
      </xdr:nvSpPr>
      <xdr:spPr bwMode="auto">
        <a:xfrm>
          <a:off x="9282315" y="1114598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75" name="Text Box 249">
          <a:extLst>
            <a:ext uri="{FF2B5EF4-FFF2-40B4-BE49-F238E27FC236}">
              <a16:creationId xmlns:a16="http://schemas.microsoft.com/office/drawing/2014/main" id="{2FE2A63A-F4CC-4BE3-B154-F724B525C0C4}"/>
            </a:ext>
          </a:extLst>
        </xdr:cNvPr>
        <xdr:cNvSpPr txBox="1">
          <a:spLocks noChangeArrowheads="1"/>
        </xdr:cNvSpPr>
      </xdr:nvSpPr>
      <xdr:spPr bwMode="auto">
        <a:xfrm>
          <a:off x="9279775" y="111459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76" name="Text Box 249">
          <a:extLst>
            <a:ext uri="{FF2B5EF4-FFF2-40B4-BE49-F238E27FC236}">
              <a16:creationId xmlns:a16="http://schemas.microsoft.com/office/drawing/2014/main" id="{C11AC168-ACC5-4870-BAF7-88F576E3B372}"/>
            </a:ext>
          </a:extLst>
        </xdr:cNvPr>
        <xdr:cNvSpPr txBox="1">
          <a:spLocks noChangeArrowheads="1"/>
        </xdr:cNvSpPr>
      </xdr:nvSpPr>
      <xdr:spPr bwMode="auto">
        <a:xfrm>
          <a:off x="9279775" y="111459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77" name="Text Box 249">
          <a:extLst>
            <a:ext uri="{FF2B5EF4-FFF2-40B4-BE49-F238E27FC236}">
              <a16:creationId xmlns:a16="http://schemas.microsoft.com/office/drawing/2014/main" id="{7A286EF7-B021-4C91-8E6A-7B5564D7009C}"/>
            </a:ext>
          </a:extLst>
        </xdr:cNvPr>
        <xdr:cNvSpPr txBox="1">
          <a:spLocks noChangeArrowheads="1"/>
        </xdr:cNvSpPr>
      </xdr:nvSpPr>
      <xdr:spPr bwMode="auto">
        <a:xfrm>
          <a:off x="9279775" y="111459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78" name="Text Box 249">
          <a:extLst>
            <a:ext uri="{FF2B5EF4-FFF2-40B4-BE49-F238E27FC236}">
              <a16:creationId xmlns:a16="http://schemas.microsoft.com/office/drawing/2014/main" id="{DF645B1E-0FED-4CF1-9B39-A40E8E397B73}"/>
            </a:ext>
          </a:extLst>
        </xdr:cNvPr>
        <xdr:cNvSpPr txBox="1">
          <a:spLocks noChangeArrowheads="1"/>
        </xdr:cNvSpPr>
      </xdr:nvSpPr>
      <xdr:spPr bwMode="auto">
        <a:xfrm>
          <a:off x="9279775" y="111459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79" name="Text Box 249">
          <a:extLst>
            <a:ext uri="{FF2B5EF4-FFF2-40B4-BE49-F238E27FC236}">
              <a16:creationId xmlns:a16="http://schemas.microsoft.com/office/drawing/2014/main" id="{6AB2D92A-904C-4939-8AA7-7473100BCB65}"/>
            </a:ext>
          </a:extLst>
        </xdr:cNvPr>
        <xdr:cNvSpPr txBox="1">
          <a:spLocks noChangeArrowheads="1"/>
        </xdr:cNvSpPr>
      </xdr:nvSpPr>
      <xdr:spPr bwMode="auto">
        <a:xfrm>
          <a:off x="9279775" y="111459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80" name="Text Box 249">
          <a:extLst>
            <a:ext uri="{FF2B5EF4-FFF2-40B4-BE49-F238E27FC236}">
              <a16:creationId xmlns:a16="http://schemas.microsoft.com/office/drawing/2014/main" id="{7D9CE80F-3E89-4F9B-9F4C-B27F4B293791}"/>
            </a:ext>
          </a:extLst>
        </xdr:cNvPr>
        <xdr:cNvSpPr txBox="1">
          <a:spLocks noChangeArrowheads="1"/>
        </xdr:cNvSpPr>
      </xdr:nvSpPr>
      <xdr:spPr bwMode="auto">
        <a:xfrm>
          <a:off x="9279775" y="111459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625</xdr:row>
      <xdr:rowOff>0</xdr:rowOff>
    </xdr:from>
    <xdr:ext cx="104775" cy="210011"/>
    <xdr:sp macro="" textlink="">
      <xdr:nvSpPr>
        <xdr:cNvPr id="81" name="Text Box 249">
          <a:extLst>
            <a:ext uri="{FF2B5EF4-FFF2-40B4-BE49-F238E27FC236}">
              <a16:creationId xmlns:a16="http://schemas.microsoft.com/office/drawing/2014/main" id="{042E0031-A51B-42D9-8B67-69FDCE939FBA}"/>
            </a:ext>
          </a:extLst>
        </xdr:cNvPr>
        <xdr:cNvSpPr txBox="1">
          <a:spLocks noChangeArrowheads="1"/>
        </xdr:cNvSpPr>
      </xdr:nvSpPr>
      <xdr:spPr bwMode="auto">
        <a:xfrm>
          <a:off x="9282315" y="1114598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627</xdr:row>
      <xdr:rowOff>0</xdr:rowOff>
    </xdr:from>
    <xdr:ext cx="117326" cy="218324"/>
    <xdr:sp macro="" textlink="">
      <xdr:nvSpPr>
        <xdr:cNvPr id="82" name="Text Box 249">
          <a:extLst>
            <a:ext uri="{FF2B5EF4-FFF2-40B4-BE49-F238E27FC236}">
              <a16:creationId xmlns:a16="http://schemas.microsoft.com/office/drawing/2014/main" id="{842E0A13-76E1-445F-A6F5-82F17E53F939}"/>
            </a:ext>
          </a:extLst>
        </xdr:cNvPr>
        <xdr:cNvSpPr txBox="1">
          <a:spLocks noChangeArrowheads="1"/>
        </xdr:cNvSpPr>
      </xdr:nvSpPr>
      <xdr:spPr bwMode="auto">
        <a:xfrm>
          <a:off x="9282315" y="11478491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83" name="Text Box 249">
          <a:extLst>
            <a:ext uri="{FF2B5EF4-FFF2-40B4-BE49-F238E27FC236}">
              <a16:creationId xmlns:a16="http://schemas.microsoft.com/office/drawing/2014/main" id="{C23E898B-22B1-4B6C-ACB0-45E069A36336}"/>
            </a:ext>
          </a:extLst>
        </xdr:cNvPr>
        <xdr:cNvSpPr txBox="1">
          <a:spLocks noChangeArrowheads="1"/>
        </xdr:cNvSpPr>
      </xdr:nvSpPr>
      <xdr:spPr bwMode="auto">
        <a:xfrm>
          <a:off x="9279775" y="1147849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84" name="Text Box 249">
          <a:extLst>
            <a:ext uri="{FF2B5EF4-FFF2-40B4-BE49-F238E27FC236}">
              <a16:creationId xmlns:a16="http://schemas.microsoft.com/office/drawing/2014/main" id="{FD7874AA-B614-4289-801A-E8B7E8AD3FAA}"/>
            </a:ext>
          </a:extLst>
        </xdr:cNvPr>
        <xdr:cNvSpPr txBox="1">
          <a:spLocks noChangeArrowheads="1"/>
        </xdr:cNvSpPr>
      </xdr:nvSpPr>
      <xdr:spPr bwMode="auto">
        <a:xfrm>
          <a:off x="9279775" y="1147849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85" name="Text Box 249">
          <a:extLst>
            <a:ext uri="{FF2B5EF4-FFF2-40B4-BE49-F238E27FC236}">
              <a16:creationId xmlns:a16="http://schemas.microsoft.com/office/drawing/2014/main" id="{8AE0AC30-017C-44B5-B04F-941584B8405F}"/>
            </a:ext>
          </a:extLst>
        </xdr:cNvPr>
        <xdr:cNvSpPr txBox="1">
          <a:spLocks noChangeArrowheads="1"/>
        </xdr:cNvSpPr>
      </xdr:nvSpPr>
      <xdr:spPr bwMode="auto">
        <a:xfrm>
          <a:off x="9279775" y="1147849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86" name="Text Box 249">
          <a:extLst>
            <a:ext uri="{FF2B5EF4-FFF2-40B4-BE49-F238E27FC236}">
              <a16:creationId xmlns:a16="http://schemas.microsoft.com/office/drawing/2014/main" id="{5EF4C50E-AF8B-457F-AC9A-856C9461B83F}"/>
            </a:ext>
          </a:extLst>
        </xdr:cNvPr>
        <xdr:cNvSpPr txBox="1">
          <a:spLocks noChangeArrowheads="1"/>
        </xdr:cNvSpPr>
      </xdr:nvSpPr>
      <xdr:spPr bwMode="auto">
        <a:xfrm>
          <a:off x="9279775" y="1147849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87" name="Text Box 249">
          <a:extLst>
            <a:ext uri="{FF2B5EF4-FFF2-40B4-BE49-F238E27FC236}">
              <a16:creationId xmlns:a16="http://schemas.microsoft.com/office/drawing/2014/main" id="{A18D8CCC-F918-4010-85CD-0C7164386BF2}"/>
            </a:ext>
          </a:extLst>
        </xdr:cNvPr>
        <xdr:cNvSpPr txBox="1">
          <a:spLocks noChangeArrowheads="1"/>
        </xdr:cNvSpPr>
      </xdr:nvSpPr>
      <xdr:spPr bwMode="auto">
        <a:xfrm>
          <a:off x="9279775" y="1147849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88" name="Text Box 249">
          <a:extLst>
            <a:ext uri="{FF2B5EF4-FFF2-40B4-BE49-F238E27FC236}">
              <a16:creationId xmlns:a16="http://schemas.microsoft.com/office/drawing/2014/main" id="{10107735-14CF-4F33-90E0-99389DC4894D}"/>
            </a:ext>
          </a:extLst>
        </xdr:cNvPr>
        <xdr:cNvSpPr txBox="1">
          <a:spLocks noChangeArrowheads="1"/>
        </xdr:cNvSpPr>
      </xdr:nvSpPr>
      <xdr:spPr bwMode="auto">
        <a:xfrm>
          <a:off x="9279775" y="1147849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627</xdr:row>
      <xdr:rowOff>0</xdr:rowOff>
    </xdr:from>
    <xdr:ext cx="104775" cy="210011"/>
    <xdr:sp macro="" textlink="">
      <xdr:nvSpPr>
        <xdr:cNvPr id="89" name="Text Box 249">
          <a:extLst>
            <a:ext uri="{FF2B5EF4-FFF2-40B4-BE49-F238E27FC236}">
              <a16:creationId xmlns:a16="http://schemas.microsoft.com/office/drawing/2014/main" id="{D769662C-E719-42D9-982B-D6F28098CA14}"/>
            </a:ext>
          </a:extLst>
        </xdr:cNvPr>
        <xdr:cNvSpPr txBox="1">
          <a:spLocks noChangeArrowheads="1"/>
        </xdr:cNvSpPr>
      </xdr:nvSpPr>
      <xdr:spPr bwMode="auto">
        <a:xfrm>
          <a:off x="9282315" y="11478491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630</xdr:row>
      <xdr:rowOff>0</xdr:rowOff>
    </xdr:from>
    <xdr:ext cx="117326" cy="218324"/>
    <xdr:sp macro="" textlink="">
      <xdr:nvSpPr>
        <xdr:cNvPr id="90" name="Text Box 249">
          <a:extLst>
            <a:ext uri="{FF2B5EF4-FFF2-40B4-BE49-F238E27FC236}">
              <a16:creationId xmlns:a16="http://schemas.microsoft.com/office/drawing/2014/main" id="{AD4C108C-AA32-4F37-9342-E03A424D33FB}"/>
            </a:ext>
          </a:extLst>
        </xdr:cNvPr>
        <xdr:cNvSpPr txBox="1">
          <a:spLocks noChangeArrowheads="1"/>
        </xdr:cNvSpPr>
      </xdr:nvSpPr>
      <xdr:spPr bwMode="auto">
        <a:xfrm>
          <a:off x="9282315" y="1197725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91" name="Text Box 249">
          <a:extLst>
            <a:ext uri="{FF2B5EF4-FFF2-40B4-BE49-F238E27FC236}">
              <a16:creationId xmlns:a16="http://schemas.microsoft.com/office/drawing/2014/main" id="{385D2275-D69D-45B8-B9D2-57E54A1EABEC}"/>
            </a:ext>
          </a:extLst>
        </xdr:cNvPr>
        <xdr:cNvSpPr txBox="1">
          <a:spLocks noChangeArrowheads="1"/>
        </xdr:cNvSpPr>
      </xdr:nvSpPr>
      <xdr:spPr bwMode="auto">
        <a:xfrm>
          <a:off x="9279775" y="1197725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92" name="Text Box 249">
          <a:extLst>
            <a:ext uri="{FF2B5EF4-FFF2-40B4-BE49-F238E27FC236}">
              <a16:creationId xmlns:a16="http://schemas.microsoft.com/office/drawing/2014/main" id="{18DCBB62-B53D-4D50-A22D-512EBE9C952A}"/>
            </a:ext>
          </a:extLst>
        </xdr:cNvPr>
        <xdr:cNvSpPr txBox="1">
          <a:spLocks noChangeArrowheads="1"/>
        </xdr:cNvSpPr>
      </xdr:nvSpPr>
      <xdr:spPr bwMode="auto">
        <a:xfrm>
          <a:off x="9279775" y="1197725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93" name="Text Box 249">
          <a:extLst>
            <a:ext uri="{FF2B5EF4-FFF2-40B4-BE49-F238E27FC236}">
              <a16:creationId xmlns:a16="http://schemas.microsoft.com/office/drawing/2014/main" id="{F4E31434-C2ED-4DA0-BFDA-0BAC57110280}"/>
            </a:ext>
          </a:extLst>
        </xdr:cNvPr>
        <xdr:cNvSpPr txBox="1">
          <a:spLocks noChangeArrowheads="1"/>
        </xdr:cNvSpPr>
      </xdr:nvSpPr>
      <xdr:spPr bwMode="auto">
        <a:xfrm>
          <a:off x="9279775" y="1197725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94" name="Text Box 249">
          <a:extLst>
            <a:ext uri="{FF2B5EF4-FFF2-40B4-BE49-F238E27FC236}">
              <a16:creationId xmlns:a16="http://schemas.microsoft.com/office/drawing/2014/main" id="{DC377710-0DC9-4775-AE30-6D28CF253AC9}"/>
            </a:ext>
          </a:extLst>
        </xdr:cNvPr>
        <xdr:cNvSpPr txBox="1">
          <a:spLocks noChangeArrowheads="1"/>
        </xdr:cNvSpPr>
      </xdr:nvSpPr>
      <xdr:spPr bwMode="auto">
        <a:xfrm>
          <a:off x="9279775" y="1197725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95" name="Text Box 249">
          <a:extLst>
            <a:ext uri="{FF2B5EF4-FFF2-40B4-BE49-F238E27FC236}">
              <a16:creationId xmlns:a16="http://schemas.microsoft.com/office/drawing/2014/main" id="{C2195597-4820-4E34-8002-A865F72DA38C}"/>
            </a:ext>
          </a:extLst>
        </xdr:cNvPr>
        <xdr:cNvSpPr txBox="1">
          <a:spLocks noChangeArrowheads="1"/>
        </xdr:cNvSpPr>
      </xdr:nvSpPr>
      <xdr:spPr bwMode="auto">
        <a:xfrm>
          <a:off x="9279775" y="1197725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96" name="Text Box 249">
          <a:extLst>
            <a:ext uri="{FF2B5EF4-FFF2-40B4-BE49-F238E27FC236}">
              <a16:creationId xmlns:a16="http://schemas.microsoft.com/office/drawing/2014/main" id="{58DDA653-826E-44C4-BC19-7001157F356A}"/>
            </a:ext>
          </a:extLst>
        </xdr:cNvPr>
        <xdr:cNvSpPr txBox="1">
          <a:spLocks noChangeArrowheads="1"/>
        </xdr:cNvSpPr>
      </xdr:nvSpPr>
      <xdr:spPr bwMode="auto">
        <a:xfrm>
          <a:off x="9279775" y="1197725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630</xdr:row>
      <xdr:rowOff>0</xdr:rowOff>
    </xdr:from>
    <xdr:ext cx="104775" cy="210011"/>
    <xdr:sp macro="" textlink="">
      <xdr:nvSpPr>
        <xdr:cNvPr id="97" name="Text Box 249">
          <a:extLst>
            <a:ext uri="{FF2B5EF4-FFF2-40B4-BE49-F238E27FC236}">
              <a16:creationId xmlns:a16="http://schemas.microsoft.com/office/drawing/2014/main" id="{DDF03B84-769E-413E-BB58-6C652D08B01E}"/>
            </a:ext>
          </a:extLst>
        </xdr:cNvPr>
        <xdr:cNvSpPr txBox="1">
          <a:spLocks noChangeArrowheads="1"/>
        </xdr:cNvSpPr>
      </xdr:nvSpPr>
      <xdr:spPr bwMode="auto">
        <a:xfrm>
          <a:off x="9282315" y="1197725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632</xdr:row>
      <xdr:rowOff>0</xdr:rowOff>
    </xdr:from>
    <xdr:ext cx="117326" cy="218324"/>
    <xdr:sp macro="" textlink="">
      <xdr:nvSpPr>
        <xdr:cNvPr id="98" name="Text Box 249">
          <a:extLst>
            <a:ext uri="{FF2B5EF4-FFF2-40B4-BE49-F238E27FC236}">
              <a16:creationId xmlns:a16="http://schemas.microsoft.com/office/drawing/2014/main" id="{AA437FB1-3ADD-4960-A007-FA9FEF43D297}"/>
            </a:ext>
          </a:extLst>
        </xdr:cNvPr>
        <xdr:cNvSpPr txBox="1">
          <a:spLocks noChangeArrowheads="1"/>
        </xdr:cNvSpPr>
      </xdr:nvSpPr>
      <xdr:spPr bwMode="auto">
        <a:xfrm>
          <a:off x="9282315" y="12309764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99" name="Text Box 249">
          <a:extLst>
            <a:ext uri="{FF2B5EF4-FFF2-40B4-BE49-F238E27FC236}">
              <a16:creationId xmlns:a16="http://schemas.microsoft.com/office/drawing/2014/main" id="{FA9B37CA-1547-4A0C-8A22-3404CECCE959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00" name="Text Box 249">
          <a:extLst>
            <a:ext uri="{FF2B5EF4-FFF2-40B4-BE49-F238E27FC236}">
              <a16:creationId xmlns:a16="http://schemas.microsoft.com/office/drawing/2014/main" id="{FE90DB0A-F398-4D85-982F-74BBB4D402FE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01" name="Text Box 249">
          <a:extLst>
            <a:ext uri="{FF2B5EF4-FFF2-40B4-BE49-F238E27FC236}">
              <a16:creationId xmlns:a16="http://schemas.microsoft.com/office/drawing/2014/main" id="{7D964DB8-6AE9-42A6-B168-B14D09734F29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02" name="Text Box 249">
          <a:extLst>
            <a:ext uri="{FF2B5EF4-FFF2-40B4-BE49-F238E27FC236}">
              <a16:creationId xmlns:a16="http://schemas.microsoft.com/office/drawing/2014/main" id="{0D1609E8-2FEF-43FB-849C-EB6531D5ED2C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03" name="Text Box 249">
          <a:extLst>
            <a:ext uri="{FF2B5EF4-FFF2-40B4-BE49-F238E27FC236}">
              <a16:creationId xmlns:a16="http://schemas.microsoft.com/office/drawing/2014/main" id="{C1B899FD-8290-4286-BB77-63F3E6358EB8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04" name="Text Box 249">
          <a:extLst>
            <a:ext uri="{FF2B5EF4-FFF2-40B4-BE49-F238E27FC236}">
              <a16:creationId xmlns:a16="http://schemas.microsoft.com/office/drawing/2014/main" id="{4EB14D16-66BE-4F73-8B41-199AD1FE796B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632</xdr:row>
      <xdr:rowOff>0</xdr:rowOff>
    </xdr:from>
    <xdr:ext cx="104775" cy="210011"/>
    <xdr:sp macro="" textlink="">
      <xdr:nvSpPr>
        <xdr:cNvPr id="105" name="Text Box 249">
          <a:extLst>
            <a:ext uri="{FF2B5EF4-FFF2-40B4-BE49-F238E27FC236}">
              <a16:creationId xmlns:a16="http://schemas.microsoft.com/office/drawing/2014/main" id="{A6B678A1-B68E-410D-9889-0D1A7323917A}"/>
            </a:ext>
          </a:extLst>
        </xdr:cNvPr>
        <xdr:cNvSpPr txBox="1">
          <a:spLocks noChangeArrowheads="1"/>
        </xdr:cNvSpPr>
      </xdr:nvSpPr>
      <xdr:spPr bwMode="auto">
        <a:xfrm>
          <a:off x="9282315" y="12309764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633</xdr:row>
      <xdr:rowOff>0</xdr:rowOff>
    </xdr:from>
    <xdr:ext cx="117326" cy="218324"/>
    <xdr:sp macro="" textlink="">
      <xdr:nvSpPr>
        <xdr:cNvPr id="106" name="Text Box 249">
          <a:extLst>
            <a:ext uri="{FF2B5EF4-FFF2-40B4-BE49-F238E27FC236}">
              <a16:creationId xmlns:a16="http://schemas.microsoft.com/office/drawing/2014/main" id="{40864FB2-1798-4862-A9C0-6BCEE84FBD54}"/>
            </a:ext>
          </a:extLst>
        </xdr:cNvPr>
        <xdr:cNvSpPr txBox="1">
          <a:spLocks noChangeArrowheads="1"/>
        </xdr:cNvSpPr>
      </xdr:nvSpPr>
      <xdr:spPr bwMode="auto">
        <a:xfrm>
          <a:off x="9282315" y="12476018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07" name="Text Box 249">
          <a:extLst>
            <a:ext uri="{FF2B5EF4-FFF2-40B4-BE49-F238E27FC236}">
              <a16:creationId xmlns:a16="http://schemas.microsoft.com/office/drawing/2014/main" id="{50FB5122-4E2E-4E75-AA6B-E960A7C074AB}"/>
            </a:ext>
          </a:extLst>
        </xdr:cNvPr>
        <xdr:cNvSpPr txBox="1">
          <a:spLocks noChangeArrowheads="1"/>
        </xdr:cNvSpPr>
      </xdr:nvSpPr>
      <xdr:spPr bwMode="auto">
        <a:xfrm>
          <a:off x="9279775" y="1247601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08" name="Text Box 249">
          <a:extLst>
            <a:ext uri="{FF2B5EF4-FFF2-40B4-BE49-F238E27FC236}">
              <a16:creationId xmlns:a16="http://schemas.microsoft.com/office/drawing/2014/main" id="{FBFE610E-92B7-4BD9-A08D-2FFEE13D5391}"/>
            </a:ext>
          </a:extLst>
        </xdr:cNvPr>
        <xdr:cNvSpPr txBox="1">
          <a:spLocks noChangeArrowheads="1"/>
        </xdr:cNvSpPr>
      </xdr:nvSpPr>
      <xdr:spPr bwMode="auto">
        <a:xfrm>
          <a:off x="9279775" y="1247601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09" name="Text Box 249">
          <a:extLst>
            <a:ext uri="{FF2B5EF4-FFF2-40B4-BE49-F238E27FC236}">
              <a16:creationId xmlns:a16="http://schemas.microsoft.com/office/drawing/2014/main" id="{6139D22F-9E87-4BB3-9F01-04E330221EB1}"/>
            </a:ext>
          </a:extLst>
        </xdr:cNvPr>
        <xdr:cNvSpPr txBox="1">
          <a:spLocks noChangeArrowheads="1"/>
        </xdr:cNvSpPr>
      </xdr:nvSpPr>
      <xdr:spPr bwMode="auto">
        <a:xfrm>
          <a:off x="9279775" y="1247601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10" name="Text Box 249">
          <a:extLst>
            <a:ext uri="{FF2B5EF4-FFF2-40B4-BE49-F238E27FC236}">
              <a16:creationId xmlns:a16="http://schemas.microsoft.com/office/drawing/2014/main" id="{8849A93B-D3B0-4A0E-858B-30BDF5FEC23C}"/>
            </a:ext>
          </a:extLst>
        </xdr:cNvPr>
        <xdr:cNvSpPr txBox="1">
          <a:spLocks noChangeArrowheads="1"/>
        </xdr:cNvSpPr>
      </xdr:nvSpPr>
      <xdr:spPr bwMode="auto">
        <a:xfrm>
          <a:off x="9279775" y="1247601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11" name="Text Box 249">
          <a:extLst>
            <a:ext uri="{FF2B5EF4-FFF2-40B4-BE49-F238E27FC236}">
              <a16:creationId xmlns:a16="http://schemas.microsoft.com/office/drawing/2014/main" id="{C5E358FA-2121-4C1E-976A-A82482924E85}"/>
            </a:ext>
          </a:extLst>
        </xdr:cNvPr>
        <xdr:cNvSpPr txBox="1">
          <a:spLocks noChangeArrowheads="1"/>
        </xdr:cNvSpPr>
      </xdr:nvSpPr>
      <xdr:spPr bwMode="auto">
        <a:xfrm>
          <a:off x="9279775" y="1247601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12" name="Text Box 249">
          <a:extLst>
            <a:ext uri="{FF2B5EF4-FFF2-40B4-BE49-F238E27FC236}">
              <a16:creationId xmlns:a16="http://schemas.microsoft.com/office/drawing/2014/main" id="{471513CF-0FBC-4FBD-8E22-8F2B983D0EE1}"/>
            </a:ext>
          </a:extLst>
        </xdr:cNvPr>
        <xdr:cNvSpPr txBox="1">
          <a:spLocks noChangeArrowheads="1"/>
        </xdr:cNvSpPr>
      </xdr:nvSpPr>
      <xdr:spPr bwMode="auto">
        <a:xfrm>
          <a:off x="9279775" y="1247601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633</xdr:row>
      <xdr:rowOff>0</xdr:rowOff>
    </xdr:from>
    <xdr:ext cx="104775" cy="210011"/>
    <xdr:sp macro="" textlink="">
      <xdr:nvSpPr>
        <xdr:cNvPr id="113" name="Text Box 249">
          <a:extLst>
            <a:ext uri="{FF2B5EF4-FFF2-40B4-BE49-F238E27FC236}">
              <a16:creationId xmlns:a16="http://schemas.microsoft.com/office/drawing/2014/main" id="{DED8A0DA-C1C7-413D-9DE6-957394FEC782}"/>
            </a:ext>
          </a:extLst>
        </xdr:cNvPr>
        <xdr:cNvSpPr txBox="1">
          <a:spLocks noChangeArrowheads="1"/>
        </xdr:cNvSpPr>
      </xdr:nvSpPr>
      <xdr:spPr bwMode="auto">
        <a:xfrm>
          <a:off x="9282315" y="12476018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632</xdr:row>
      <xdr:rowOff>0</xdr:rowOff>
    </xdr:from>
    <xdr:ext cx="117326" cy="218324"/>
    <xdr:sp macro="" textlink="">
      <xdr:nvSpPr>
        <xdr:cNvPr id="114" name="Text Box 249">
          <a:extLst>
            <a:ext uri="{FF2B5EF4-FFF2-40B4-BE49-F238E27FC236}">
              <a16:creationId xmlns:a16="http://schemas.microsoft.com/office/drawing/2014/main" id="{72F6954F-C1AF-4067-9BB4-79E36F435F66}"/>
            </a:ext>
          </a:extLst>
        </xdr:cNvPr>
        <xdr:cNvSpPr txBox="1">
          <a:spLocks noChangeArrowheads="1"/>
        </xdr:cNvSpPr>
      </xdr:nvSpPr>
      <xdr:spPr bwMode="auto">
        <a:xfrm>
          <a:off x="9282315" y="12309764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15" name="Text Box 249">
          <a:extLst>
            <a:ext uri="{FF2B5EF4-FFF2-40B4-BE49-F238E27FC236}">
              <a16:creationId xmlns:a16="http://schemas.microsoft.com/office/drawing/2014/main" id="{0649F12A-77F3-4DC4-B166-2A1123A5C28F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16" name="Text Box 249">
          <a:extLst>
            <a:ext uri="{FF2B5EF4-FFF2-40B4-BE49-F238E27FC236}">
              <a16:creationId xmlns:a16="http://schemas.microsoft.com/office/drawing/2014/main" id="{DA6FC5AF-3867-4DAD-858E-157273D7D215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17" name="Text Box 249">
          <a:extLst>
            <a:ext uri="{FF2B5EF4-FFF2-40B4-BE49-F238E27FC236}">
              <a16:creationId xmlns:a16="http://schemas.microsoft.com/office/drawing/2014/main" id="{D98DE449-4031-45B1-BD88-EF61832B08D6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18" name="Text Box 249">
          <a:extLst>
            <a:ext uri="{FF2B5EF4-FFF2-40B4-BE49-F238E27FC236}">
              <a16:creationId xmlns:a16="http://schemas.microsoft.com/office/drawing/2014/main" id="{80FDD10C-090A-4E13-B9CB-570D55FA4D7F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19" name="Text Box 249">
          <a:extLst>
            <a:ext uri="{FF2B5EF4-FFF2-40B4-BE49-F238E27FC236}">
              <a16:creationId xmlns:a16="http://schemas.microsoft.com/office/drawing/2014/main" id="{3AB15946-41BF-4734-BAA1-244CDD7847D6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20" name="Text Box 249">
          <a:extLst>
            <a:ext uri="{FF2B5EF4-FFF2-40B4-BE49-F238E27FC236}">
              <a16:creationId xmlns:a16="http://schemas.microsoft.com/office/drawing/2014/main" id="{EA11DAF8-F6F5-4B27-B9F5-49BB01DEE615}"/>
            </a:ext>
          </a:extLst>
        </xdr:cNvPr>
        <xdr:cNvSpPr txBox="1">
          <a:spLocks noChangeArrowheads="1"/>
        </xdr:cNvSpPr>
      </xdr:nvSpPr>
      <xdr:spPr bwMode="auto">
        <a:xfrm>
          <a:off x="9279775" y="1230976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632</xdr:row>
      <xdr:rowOff>0</xdr:rowOff>
    </xdr:from>
    <xdr:ext cx="104775" cy="210011"/>
    <xdr:sp macro="" textlink="">
      <xdr:nvSpPr>
        <xdr:cNvPr id="121" name="Text Box 249">
          <a:extLst>
            <a:ext uri="{FF2B5EF4-FFF2-40B4-BE49-F238E27FC236}">
              <a16:creationId xmlns:a16="http://schemas.microsoft.com/office/drawing/2014/main" id="{228F0048-B1C6-4CF4-BCF2-E16D16450B11}"/>
            </a:ext>
          </a:extLst>
        </xdr:cNvPr>
        <xdr:cNvSpPr txBox="1">
          <a:spLocks noChangeArrowheads="1"/>
        </xdr:cNvSpPr>
      </xdr:nvSpPr>
      <xdr:spPr bwMode="auto">
        <a:xfrm>
          <a:off x="9282315" y="12309764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635</xdr:row>
      <xdr:rowOff>0</xdr:rowOff>
    </xdr:from>
    <xdr:ext cx="117326" cy="218324"/>
    <xdr:sp macro="" textlink="">
      <xdr:nvSpPr>
        <xdr:cNvPr id="138" name="Text Box 249">
          <a:extLst>
            <a:ext uri="{FF2B5EF4-FFF2-40B4-BE49-F238E27FC236}">
              <a16:creationId xmlns:a16="http://schemas.microsoft.com/office/drawing/2014/main" id="{7DCDEFFA-C463-4D4D-9E12-F1C88312E898}"/>
            </a:ext>
          </a:extLst>
        </xdr:cNvPr>
        <xdr:cNvSpPr txBox="1">
          <a:spLocks noChangeArrowheads="1"/>
        </xdr:cNvSpPr>
      </xdr:nvSpPr>
      <xdr:spPr bwMode="auto">
        <a:xfrm>
          <a:off x="9314180" y="151790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39" name="Text Box 249">
          <a:extLst>
            <a:ext uri="{FF2B5EF4-FFF2-40B4-BE49-F238E27FC236}">
              <a16:creationId xmlns:a16="http://schemas.microsoft.com/office/drawing/2014/main" id="{81864DEB-F069-48CC-B848-7A5C96928178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40" name="Text Box 249">
          <a:extLst>
            <a:ext uri="{FF2B5EF4-FFF2-40B4-BE49-F238E27FC236}">
              <a16:creationId xmlns:a16="http://schemas.microsoft.com/office/drawing/2014/main" id="{BED6DD76-A123-418B-9875-35604BDC9AB3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41" name="Text Box 249">
          <a:extLst>
            <a:ext uri="{FF2B5EF4-FFF2-40B4-BE49-F238E27FC236}">
              <a16:creationId xmlns:a16="http://schemas.microsoft.com/office/drawing/2014/main" id="{ECE5839D-9EDD-4AF0-98D8-B7FA9B8EEDF5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42" name="Text Box 249">
          <a:extLst>
            <a:ext uri="{FF2B5EF4-FFF2-40B4-BE49-F238E27FC236}">
              <a16:creationId xmlns:a16="http://schemas.microsoft.com/office/drawing/2014/main" id="{AE1156B3-5476-4DBA-9AAB-A1D625B2C619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43" name="Text Box 249">
          <a:extLst>
            <a:ext uri="{FF2B5EF4-FFF2-40B4-BE49-F238E27FC236}">
              <a16:creationId xmlns:a16="http://schemas.microsoft.com/office/drawing/2014/main" id="{1937F121-7D6B-4A26-ABD7-7C7430E6D947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44" name="Text Box 249">
          <a:extLst>
            <a:ext uri="{FF2B5EF4-FFF2-40B4-BE49-F238E27FC236}">
              <a16:creationId xmlns:a16="http://schemas.microsoft.com/office/drawing/2014/main" id="{BACAE6BA-B68F-41CD-9455-763180A30E2D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635</xdr:row>
      <xdr:rowOff>0</xdr:rowOff>
    </xdr:from>
    <xdr:ext cx="104775" cy="210011"/>
    <xdr:sp macro="" textlink="">
      <xdr:nvSpPr>
        <xdr:cNvPr id="145" name="Text Box 249">
          <a:extLst>
            <a:ext uri="{FF2B5EF4-FFF2-40B4-BE49-F238E27FC236}">
              <a16:creationId xmlns:a16="http://schemas.microsoft.com/office/drawing/2014/main" id="{ED22D88A-650F-493F-A646-A9967CEA9B82}"/>
            </a:ext>
          </a:extLst>
        </xdr:cNvPr>
        <xdr:cNvSpPr txBox="1">
          <a:spLocks noChangeArrowheads="1"/>
        </xdr:cNvSpPr>
      </xdr:nvSpPr>
      <xdr:spPr bwMode="auto">
        <a:xfrm>
          <a:off x="9314180" y="151790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635</xdr:row>
      <xdr:rowOff>0</xdr:rowOff>
    </xdr:from>
    <xdr:ext cx="117326" cy="218324"/>
    <xdr:sp macro="" textlink="">
      <xdr:nvSpPr>
        <xdr:cNvPr id="146" name="Text Box 249">
          <a:extLst>
            <a:ext uri="{FF2B5EF4-FFF2-40B4-BE49-F238E27FC236}">
              <a16:creationId xmlns:a16="http://schemas.microsoft.com/office/drawing/2014/main" id="{30E8E47D-4A21-4A09-A3C7-20D3F7C71C98}"/>
            </a:ext>
          </a:extLst>
        </xdr:cNvPr>
        <xdr:cNvSpPr txBox="1">
          <a:spLocks noChangeArrowheads="1"/>
        </xdr:cNvSpPr>
      </xdr:nvSpPr>
      <xdr:spPr bwMode="auto">
        <a:xfrm>
          <a:off x="9314180" y="151790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47" name="Text Box 249">
          <a:extLst>
            <a:ext uri="{FF2B5EF4-FFF2-40B4-BE49-F238E27FC236}">
              <a16:creationId xmlns:a16="http://schemas.microsoft.com/office/drawing/2014/main" id="{E8BFD2E1-3546-4E94-93C8-779F017E6A91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48" name="Text Box 249">
          <a:extLst>
            <a:ext uri="{FF2B5EF4-FFF2-40B4-BE49-F238E27FC236}">
              <a16:creationId xmlns:a16="http://schemas.microsoft.com/office/drawing/2014/main" id="{9B2E1340-4C38-4235-9117-4011D640EE37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49" name="Text Box 249">
          <a:extLst>
            <a:ext uri="{FF2B5EF4-FFF2-40B4-BE49-F238E27FC236}">
              <a16:creationId xmlns:a16="http://schemas.microsoft.com/office/drawing/2014/main" id="{3CD98E71-EC5A-4EEA-97EB-C47815391354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50" name="Text Box 249">
          <a:extLst>
            <a:ext uri="{FF2B5EF4-FFF2-40B4-BE49-F238E27FC236}">
              <a16:creationId xmlns:a16="http://schemas.microsoft.com/office/drawing/2014/main" id="{14AC9B76-A292-481E-A491-1B8A6FA71058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51" name="Text Box 249">
          <a:extLst>
            <a:ext uri="{FF2B5EF4-FFF2-40B4-BE49-F238E27FC236}">
              <a16:creationId xmlns:a16="http://schemas.microsoft.com/office/drawing/2014/main" id="{476A1E91-6946-4805-B8B9-68DB6E343AC5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52" name="Text Box 249">
          <a:extLst>
            <a:ext uri="{FF2B5EF4-FFF2-40B4-BE49-F238E27FC236}">
              <a16:creationId xmlns:a16="http://schemas.microsoft.com/office/drawing/2014/main" id="{686A4C8D-C3D7-4392-9CF2-B39A25C28CC6}"/>
            </a:ext>
          </a:extLst>
        </xdr:cNvPr>
        <xdr:cNvSpPr txBox="1">
          <a:spLocks noChangeArrowheads="1"/>
        </xdr:cNvSpPr>
      </xdr:nvSpPr>
      <xdr:spPr bwMode="auto">
        <a:xfrm>
          <a:off x="9311640" y="15179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635</xdr:row>
      <xdr:rowOff>0</xdr:rowOff>
    </xdr:from>
    <xdr:ext cx="104775" cy="210011"/>
    <xdr:sp macro="" textlink="">
      <xdr:nvSpPr>
        <xdr:cNvPr id="153" name="Text Box 249">
          <a:extLst>
            <a:ext uri="{FF2B5EF4-FFF2-40B4-BE49-F238E27FC236}">
              <a16:creationId xmlns:a16="http://schemas.microsoft.com/office/drawing/2014/main" id="{D5CD9DA2-8C9F-4C08-9936-F12CB3E05EC2}"/>
            </a:ext>
          </a:extLst>
        </xdr:cNvPr>
        <xdr:cNvSpPr txBox="1">
          <a:spLocks noChangeArrowheads="1"/>
        </xdr:cNvSpPr>
      </xdr:nvSpPr>
      <xdr:spPr bwMode="auto">
        <a:xfrm>
          <a:off x="9314180" y="151790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</xdr:row>
      <xdr:rowOff>0</xdr:rowOff>
    </xdr:from>
    <xdr:ext cx="117326" cy="218324"/>
    <xdr:sp macro="" textlink="">
      <xdr:nvSpPr>
        <xdr:cNvPr id="154" name="Text Box 249">
          <a:extLst>
            <a:ext uri="{FF2B5EF4-FFF2-40B4-BE49-F238E27FC236}">
              <a16:creationId xmlns:a16="http://schemas.microsoft.com/office/drawing/2014/main" id="{E4CDDDE8-8387-492D-83A7-B59B3ACB433C}"/>
            </a:ext>
          </a:extLst>
        </xdr:cNvPr>
        <xdr:cNvSpPr txBox="1">
          <a:spLocks noChangeArrowheads="1"/>
        </xdr:cNvSpPr>
      </xdr:nvSpPr>
      <xdr:spPr bwMode="auto">
        <a:xfrm>
          <a:off x="9314180" y="122377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55" name="Text Box 249">
          <a:extLst>
            <a:ext uri="{FF2B5EF4-FFF2-40B4-BE49-F238E27FC236}">
              <a16:creationId xmlns:a16="http://schemas.microsoft.com/office/drawing/2014/main" id="{64FECF96-D5F9-47C4-8C10-52647A4D3E44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56" name="Text Box 249">
          <a:extLst>
            <a:ext uri="{FF2B5EF4-FFF2-40B4-BE49-F238E27FC236}">
              <a16:creationId xmlns:a16="http://schemas.microsoft.com/office/drawing/2014/main" id="{6E7C9C79-9A79-47F3-B170-213580A83BBC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57" name="Text Box 249">
          <a:extLst>
            <a:ext uri="{FF2B5EF4-FFF2-40B4-BE49-F238E27FC236}">
              <a16:creationId xmlns:a16="http://schemas.microsoft.com/office/drawing/2014/main" id="{6191B0E0-9AB2-4E18-B4D6-B8BCE8737AEB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58" name="Text Box 249">
          <a:extLst>
            <a:ext uri="{FF2B5EF4-FFF2-40B4-BE49-F238E27FC236}">
              <a16:creationId xmlns:a16="http://schemas.microsoft.com/office/drawing/2014/main" id="{D0345C45-BCEB-4965-9CD6-E582CECBE4DD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59" name="Text Box 249">
          <a:extLst>
            <a:ext uri="{FF2B5EF4-FFF2-40B4-BE49-F238E27FC236}">
              <a16:creationId xmlns:a16="http://schemas.microsoft.com/office/drawing/2014/main" id="{92FEEC69-AF43-4DD6-ACC3-CB6F7399E9FF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60" name="Text Box 249">
          <a:extLst>
            <a:ext uri="{FF2B5EF4-FFF2-40B4-BE49-F238E27FC236}">
              <a16:creationId xmlns:a16="http://schemas.microsoft.com/office/drawing/2014/main" id="{004DBF60-558E-4AA3-BAE8-921DE1803213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</xdr:row>
      <xdr:rowOff>0</xdr:rowOff>
    </xdr:from>
    <xdr:ext cx="104775" cy="210011"/>
    <xdr:sp macro="" textlink="">
      <xdr:nvSpPr>
        <xdr:cNvPr id="161" name="Text Box 249">
          <a:extLst>
            <a:ext uri="{FF2B5EF4-FFF2-40B4-BE49-F238E27FC236}">
              <a16:creationId xmlns:a16="http://schemas.microsoft.com/office/drawing/2014/main" id="{9C192640-C6F9-4714-8294-254ED7FA342C}"/>
            </a:ext>
          </a:extLst>
        </xdr:cNvPr>
        <xdr:cNvSpPr txBox="1">
          <a:spLocks noChangeArrowheads="1"/>
        </xdr:cNvSpPr>
      </xdr:nvSpPr>
      <xdr:spPr bwMode="auto">
        <a:xfrm>
          <a:off x="9314180" y="122377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</xdr:row>
      <xdr:rowOff>0</xdr:rowOff>
    </xdr:from>
    <xdr:ext cx="117326" cy="218324"/>
    <xdr:sp macro="" textlink="">
      <xdr:nvSpPr>
        <xdr:cNvPr id="162" name="Text Box 249">
          <a:extLst>
            <a:ext uri="{FF2B5EF4-FFF2-40B4-BE49-F238E27FC236}">
              <a16:creationId xmlns:a16="http://schemas.microsoft.com/office/drawing/2014/main" id="{DFF49179-113D-43E9-B43A-1866D314F62F}"/>
            </a:ext>
          </a:extLst>
        </xdr:cNvPr>
        <xdr:cNvSpPr txBox="1">
          <a:spLocks noChangeArrowheads="1"/>
        </xdr:cNvSpPr>
      </xdr:nvSpPr>
      <xdr:spPr bwMode="auto">
        <a:xfrm>
          <a:off x="9314180" y="122377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63" name="Text Box 249">
          <a:extLst>
            <a:ext uri="{FF2B5EF4-FFF2-40B4-BE49-F238E27FC236}">
              <a16:creationId xmlns:a16="http://schemas.microsoft.com/office/drawing/2014/main" id="{EF6D8D7E-0492-4374-9FD3-A05AA16E29E3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64" name="Text Box 249">
          <a:extLst>
            <a:ext uri="{FF2B5EF4-FFF2-40B4-BE49-F238E27FC236}">
              <a16:creationId xmlns:a16="http://schemas.microsoft.com/office/drawing/2014/main" id="{2D8DE281-16CC-4839-A334-666277F50F58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65" name="Text Box 249">
          <a:extLst>
            <a:ext uri="{FF2B5EF4-FFF2-40B4-BE49-F238E27FC236}">
              <a16:creationId xmlns:a16="http://schemas.microsoft.com/office/drawing/2014/main" id="{537473CD-E0BD-478F-B7B3-8F522FB337A9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66" name="Text Box 249">
          <a:extLst>
            <a:ext uri="{FF2B5EF4-FFF2-40B4-BE49-F238E27FC236}">
              <a16:creationId xmlns:a16="http://schemas.microsoft.com/office/drawing/2014/main" id="{5BA66CCC-9912-4AC1-BDE5-05FD04F6E605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67" name="Text Box 249">
          <a:extLst>
            <a:ext uri="{FF2B5EF4-FFF2-40B4-BE49-F238E27FC236}">
              <a16:creationId xmlns:a16="http://schemas.microsoft.com/office/drawing/2014/main" id="{7259FE32-BAB0-4B61-80B0-750F9AF355E3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68" name="Text Box 249">
          <a:extLst>
            <a:ext uri="{FF2B5EF4-FFF2-40B4-BE49-F238E27FC236}">
              <a16:creationId xmlns:a16="http://schemas.microsoft.com/office/drawing/2014/main" id="{38368CAE-D7EA-4107-87A4-94B7895BD5F1}"/>
            </a:ext>
          </a:extLst>
        </xdr:cNvPr>
        <xdr:cNvSpPr txBox="1">
          <a:spLocks noChangeArrowheads="1"/>
        </xdr:cNvSpPr>
      </xdr:nvSpPr>
      <xdr:spPr bwMode="auto">
        <a:xfrm>
          <a:off x="9311640" y="122377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</xdr:row>
      <xdr:rowOff>0</xdr:rowOff>
    </xdr:from>
    <xdr:ext cx="104775" cy="210011"/>
    <xdr:sp macro="" textlink="">
      <xdr:nvSpPr>
        <xdr:cNvPr id="169" name="Text Box 249">
          <a:extLst>
            <a:ext uri="{FF2B5EF4-FFF2-40B4-BE49-F238E27FC236}">
              <a16:creationId xmlns:a16="http://schemas.microsoft.com/office/drawing/2014/main" id="{62F2F7DB-7DC5-4D0D-AAF8-49D052FACAF4}"/>
            </a:ext>
          </a:extLst>
        </xdr:cNvPr>
        <xdr:cNvSpPr txBox="1">
          <a:spLocks noChangeArrowheads="1"/>
        </xdr:cNvSpPr>
      </xdr:nvSpPr>
      <xdr:spPr bwMode="auto">
        <a:xfrm>
          <a:off x="9314180" y="122377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44</xdr:row>
      <xdr:rowOff>0</xdr:rowOff>
    </xdr:from>
    <xdr:ext cx="117326" cy="218324"/>
    <xdr:sp macro="" textlink="">
      <xdr:nvSpPr>
        <xdr:cNvPr id="170" name="Text Box 249">
          <a:extLst>
            <a:ext uri="{FF2B5EF4-FFF2-40B4-BE49-F238E27FC236}">
              <a16:creationId xmlns:a16="http://schemas.microsoft.com/office/drawing/2014/main" id="{BB2FC7D0-5FC6-4847-A6EE-CF3727ACA488}"/>
            </a:ext>
          </a:extLst>
        </xdr:cNvPr>
        <xdr:cNvSpPr txBox="1">
          <a:spLocks noChangeArrowheads="1"/>
        </xdr:cNvSpPr>
      </xdr:nvSpPr>
      <xdr:spPr bwMode="auto">
        <a:xfrm>
          <a:off x="9314180" y="129082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71" name="Text Box 249">
          <a:extLst>
            <a:ext uri="{FF2B5EF4-FFF2-40B4-BE49-F238E27FC236}">
              <a16:creationId xmlns:a16="http://schemas.microsoft.com/office/drawing/2014/main" id="{88C34EC7-5A81-419A-A818-2C2952C8B279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72" name="Text Box 249">
          <a:extLst>
            <a:ext uri="{FF2B5EF4-FFF2-40B4-BE49-F238E27FC236}">
              <a16:creationId xmlns:a16="http://schemas.microsoft.com/office/drawing/2014/main" id="{C9654149-C5C6-4EBE-A19E-D94095B5B450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73" name="Text Box 249">
          <a:extLst>
            <a:ext uri="{FF2B5EF4-FFF2-40B4-BE49-F238E27FC236}">
              <a16:creationId xmlns:a16="http://schemas.microsoft.com/office/drawing/2014/main" id="{7BA9C552-7A4C-4FD4-A264-7B0FD0E2E6AE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74" name="Text Box 249">
          <a:extLst>
            <a:ext uri="{FF2B5EF4-FFF2-40B4-BE49-F238E27FC236}">
              <a16:creationId xmlns:a16="http://schemas.microsoft.com/office/drawing/2014/main" id="{CDD286D3-40EE-46BF-8B97-43D7666A19C1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75" name="Text Box 249">
          <a:extLst>
            <a:ext uri="{FF2B5EF4-FFF2-40B4-BE49-F238E27FC236}">
              <a16:creationId xmlns:a16="http://schemas.microsoft.com/office/drawing/2014/main" id="{0F9D17A4-5B6D-417C-BCD3-EDDE08D82E68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76" name="Text Box 249">
          <a:extLst>
            <a:ext uri="{FF2B5EF4-FFF2-40B4-BE49-F238E27FC236}">
              <a16:creationId xmlns:a16="http://schemas.microsoft.com/office/drawing/2014/main" id="{EB15BA13-BE5E-4B54-9918-2FD715FFEEC1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44</xdr:row>
      <xdr:rowOff>0</xdr:rowOff>
    </xdr:from>
    <xdr:ext cx="104775" cy="210011"/>
    <xdr:sp macro="" textlink="">
      <xdr:nvSpPr>
        <xdr:cNvPr id="177" name="Text Box 249">
          <a:extLst>
            <a:ext uri="{FF2B5EF4-FFF2-40B4-BE49-F238E27FC236}">
              <a16:creationId xmlns:a16="http://schemas.microsoft.com/office/drawing/2014/main" id="{0AD8DF97-28A8-45C3-A49E-FBDCE8D1ED74}"/>
            </a:ext>
          </a:extLst>
        </xdr:cNvPr>
        <xdr:cNvSpPr txBox="1">
          <a:spLocks noChangeArrowheads="1"/>
        </xdr:cNvSpPr>
      </xdr:nvSpPr>
      <xdr:spPr bwMode="auto">
        <a:xfrm>
          <a:off x="9314180" y="129082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44</xdr:row>
      <xdr:rowOff>0</xdr:rowOff>
    </xdr:from>
    <xdr:ext cx="117326" cy="218324"/>
    <xdr:sp macro="" textlink="">
      <xdr:nvSpPr>
        <xdr:cNvPr id="178" name="Text Box 249">
          <a:extLst>
            <a:ext uri="{FF2B5EF4-FFF2-40B4-BE49-F238E27FC236}">
              <a16:creationId xmlns:a16="http://schemas.microsoft.com/office/drawing/2014/main" id="{4BD2922F-9A57-4B65-9B22-3CDDE3E500D2}"/>
            </a:ext>
          </a:extLst>
        </xdr:cNvPr>
        <xdr:cNvSpPr txBox="1">
          <a:spLocks noChangeArrowheads="1"/>
        </xdr:cNvSpPr>
      </xdr:nvSpPr>
      <xdr:spPr bwMode="auto">
        <a:xfrm>
          <a:off x="9314180" y="129082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79" name="Text Box 249">
          <a:extLst>
            <a:ext uri="{FF2B5EF4-FFF2-40B4-BE49-F238E27FC236}">
              <a16:creationId xmlns:a16="http://schemas.microsoft.com/office/drawing/2014/main" id="{B95AF9CA-AEB6-4A65-B9B3-54C2D8C2C30A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80" name="Text Box 249">
          <a:extLst>
            <a:ext uri="{FF2B5EF4-FFF2-40B4-BE49-F238E27FC236}">
              <a16:creationId xmlns:a16="http://schemas.microsoft.com/office/drawing/2014/main" id="{03E3A60D-C1E1-4C1D-B293-5C67945149F9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81" name="Text Box 249">
          <a:extLst>
            <a:ext uri="{FF2B5EF4-FFF2-40B4-BE49-F238E27FC236}">
              <a16:creationId xmlns:a16="http://schemas.microsoft.com/office/drawing/2014/main" id="{080C838B-6546-4EC5-92A5-AFBCDABF77E6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82" name="Text Box 249">
          <a:extLst>
            <a:ext uri="{FF2B5EF4-FFF2-40B4-BE49-F238E27FC236}">
              <a16:creationId xmlns:a16="http://schemas.microsoft.com/office/drawing/2014/main" id="{D977F6B2-75BC-4F1D-93FE-DD6A06B44AD0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83" name="Text Box 249">
          <a:extLst>
            <a:ext uri="{FF2B5EF4-FFF2-40B4-BE49-F238E27FC236}">
              <a16:creationId xmlns:a16="http://schemas.microsoft.com/office/drawing/2014/main" id="{88A8992F-5955-42A5-AFA7-D5F1D13B3B3A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84" name="Text Box 249">
          <a:extLst>
            <a:ext uri="{FF2B5EF4-FFF2-40B4-BE49-F238E27FC236}">
              <a16:creationId xmlns:a16="http://schemas.microsoft.com/office/drawing/2014/main" id="{B4C89103-16DE-438A-BCA2-647854EF1B57}"/>
            </a:ext>
          </a:extLst>
        </xdr:cNvPr>
        <xdr:cNvSpPr txBox="1">
          <a:spLocks noChangeArrowheads="1"/>
        </xdr:cNvSpPr>
      </xdr:nvSpPr>
      <xdr:spPr bwMode="auto">
        <a:xfrm>
          <a:off x="9311640" y="129082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44</xdr:row>
      <xdr:rowOff>0</xdr:rowOff>
    </xdr:from>
    <xdr:ext cx="104775" cy="210011"/>
    <xdr:sp macro="" textlink="">
      <xdr:nvSpPr>
        <xdr:cNvPr id="185" name="Text Box 249">
          <a:extLst>
            <a:ext uri="{FF2B5EF4-FFF2-40B4-BE49-F238E27FC236}">
              <a16:creationId xmlns:a16="http://schemas.microsoft.com/office/drawing/2014/main" id="{CA9859A6-DE5C-4C3F-A5A4-0C489AFDEBE7}"/>
            </a:ext>
          </a:extLst>
        </xdr:cNvPr>
        <xdr:cNvSpPr txBox="1">
          <a:spLocks noChangeArrowheads="1"/>
        </xdr:cNvSpPr>
      </xdr:nvSpPr>
      <xdr:spPr bwMode="auto">
        <a:xfrm>
          <a:off x="9314180" y="129082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20096" cy="220018"/>
    <xdr:sp macro="" textlink="">
      <xdr:nvSpPr>
        <xdr:cNvPr id="186" name="Text Box 249">
          <a:extLst>
            <a:ext uri="{FF2B5EF4-FFF2-40B4-BE49-F238E27FC236}">
              <a16:creationId xmlns:a16="http://schemas.microsoft.com/office/drawing/2014/main" id="{467C5C5C-6343-40E1-A1BC-09D0BFE41D28}"/>
            </a:ext>
          </a:extLst>
        </xdr:cNvPr>
        <xdr:cNvSpPr txBox="1">
          <a:spLocks noChangeArrowheads="1"/>
        </xdr:cNvSpPr>
      </xdr:nvSpPr>
      <xdr:spPr bwMode="auto">
        <a:xfrm>
          <a:off x="9608820" y="5342467"/>
          <a:ext cx="120096" cy="2200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87" name="Text Box 249">
          <a:extLst>
            <a:ext uri="{FF2B5EF4-FFF2-40B4-BE49-F238E27FC236}">
              <a16:creationId xmlns:a16="http://schemas.microsoft.com/office/drawing/2014/main" id="{DA8F6458-DC07-4CD9-A34A-7F73A23463BA}"/>
            </a:ext>
          </a:extLst>
        </xdr:cNvPr>
        <xdr:cNvSpPr txBox="1">
          <a:spLocks noChangeArrowheads="1"/>
        </xdr:cNvSpPr>
      </xdr:nvSpPr>
      <xdr:spPr bwMode="auto">
        <a:xfrm>
          <a:off x="9606280" y="5342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88" name="Text Box 249">
          <a:extLst>
            <a:ext uri="{FF2B5EF4-FFF2-40B4-BE49-F238E27FC236}">
              <a16:creationId xmlns:a16="http://schemas.microsoft.com/office/drawing/2014/main" id="{8A6207D4-9ACB-47DD-AAD9-1435182F48FB}"/>
            </a:ext>
          </a:extLst>
        </xdr:cNvPr>
        <xdr:cNvSpPr txBox="1">
          <a:spLocks noChangeArrowheads="1"/>
        </xdr:cNvSpPr>
      </xdr:nvSpPr>
      <xdr:spPr bwMode="auto">
        <a:xfrm>
          <a:off x="9606280" y="5342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89" name="Text Box 249">
          <a:extLst>
            <a:ext uri="{FF2B5EF4-FFF2-40B4-BE49-F238E27FC236}">
              <a16:creationId xmlns:a16="http://schemas.microsoft.com/office/drawing/2014/main" id="{B3C5A9DA-94C8-4250-93F7-2870D728D4F9}"/>
            </a:ext>
          </a:extLst>
        </xdr:cNvPr>
        <xdr:cNvSpPr txBox="1">
          <a:spLocks noChangeArrowheads="1"/>
        </xdr:cNvSpPr>
      </xdr:nvSpPr>
      <xdr:spPr bwMode="auto">
        <a:xfrm>
          <a:off x="9606280" y="5342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90" name="Text Box 249">
          <a:extLst>
            <a:ext uri="{FF2B5EF4-FFF2-40B4-BE49-F238E27FC236}">
              <a16:creationId xmlns:a16="http://schemas.microsoft.com/office/drawing/2014/main" id="{59F5B315-D6FB-411D-A92F-D0476FC39333}"/>
            </a:ext>
          </a:extLst>
        </xdr:cNvPr>
        <xdr:cNvSpPr txBox="1">
          <a:spLocks noChangeArrowheads="1"/>
        </xdr:cNvSpPr>
      </xdr:nvSpPr>
      <xdr:spPr bwMode="auto">
        <a:xfrm>
          <a:off x="9606280" y="5342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91" name="Text Box 249">
          <a:extLst>
            <a:ext uri="{FF2B5EF4-FFF2-40B4-BE49-F238E27FC236}">
              <a16:creationId xmlns:a16="http://schemas.microsoft.com/office/drawing/2014/main" id="{7DBA4313-DAA7-47C3-97D3-5D74D89DB84C}"/>
            </a:ext>
          </a:extLst>
        </xdr:cNvPr>
        <xdr:cNvSpPr txBox="1">
          <a:spLocks noChangeArrowheads="1"/>
        </xdr:cNvSpPr>
      </xdr:nvSpPr>
      <xdr:spPr bwMode="auto">
        <a:xfrm>
          <a:off x="9606280" y="5342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92" name="Text Box 249">
          <a:extLst>
            <a:ext uri="{FF2B5EF4-FFF2-40B4-BE49-F238E27FC236}">
              <a16:creationId xmlns:a16="http://schemas.microsoft.com/office/drawing/2014/main" id="{52F55780-CAC0-4966-8583-D3ADC6F90BF9}"/>
            </a:ext>
          </a:extLst>
        </xdr:cNvPr>
        <xdr:cNvSpPr txBox="1">
          <a:spLocks noChangeArrowheads="1"/>
        </xdr:cNvSpPr>
      </xdr:nvSpPr>
      <xdr:spPr bwMode="auto">
        <a:xfrm>
          <a:off x="9606280" y="5342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04775" cy="210011"/>
    <xdr:sp macro="" textlink="">
      <xdr:nvSpPr>
        <xdr:cNvPr id="193" name="Text Box 249">
          <a:extLst>
            <a:ext uri="{FF2B5EF4-FFF2-40B4-BE49-F238E27FC236}">
              <a16:creationId xmlns:a16="http://schemas.microsoft.com/office/drawing/2014/main" id="{AA6CF187-94D0-4A0E-8F07-F2AC95FA6C07}"/>
            </a:ext>
          </a:extLst>
        </xdr:cNvPr>
        <xdr:cNvSpPr txBox="1">
          <a:spLocks noChangeArrowheads="1"/>
        </xdr:cNvSpPr>
      </xdr:nvSpPr>
      <xdr:spPr bwMode="auto">
        <a:xfrm>
          <a:off x="9608820" y="53424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17326" cy="218324"/>
    <xdr:sp macro="" textlink="">
      <xdr:nvSpPr>
        <xdr:cNvPr id="194" name="Text Box 249">
          <a:extLst>
            <a:ext uri="{FF2B5EF4-FFF2-40B4-BE49-F238E27FC236}">
              <a16:creationId xmlns:a16="http://schemas.microsoft.com/office/drawing/2014/main" id="{789942E4-1245-445A-9DE3-8EEBD14450DD}"/>
            </a:ext>
          </a:extLst>
        </xdr:cNvPr>
        <xdr:cNvSpPr txBox="1">
          <a:spLocks noChangeArrowheads="1"/>
        </xdr:cNvSpPr>
      </xdr:nvSpPr>
      <xdr:spPr bwMode="auto">
        <a:xfrm>
          <a:off x="9608820" y="82211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95" name="Text Box 249">
          <a:extLst>
            <a:ext uri="{FF2B5EF4-FFF2-40B4-BE49-F238E27FC236}">
              <a16:creationId xmlns:a16="http://schemas.microsoft.com/office/drawing/2014/main" id="{299B1774-97CB-4E0F-ABFD-194449C29A5E}"/>
            </a:ext>
          </a:extLst>
        </xdr:cNvPr>
        <xdr:cNvSpPr txBox="1">
          <a:spLocks noChangeArrowheads="1"/>
        </xdr:cNvSpPr>
      </xdr:nvSpPr>
      <xdr:spPr bwMode="auto">
        <a:xfrm>
          <a:off x="9606280" y="8221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96" name="Text Box 249">
          <a:extLst>
            <a:ext uri="{FF2B5EF4-FFF2-40B4-BE49-F238E27FC236}">
              <a16:creationId xmlns:a16="http://schemas.microsoft.com/office/drawing/2014/main" id="{D1C6ADA6-938F-4F91-88AC-E1DD527BF02C}"/>
            </a:ext>
          </a:extLst>
        </xdr:cNvPr>
        <xdr:cNvSpPr txBox="1">
          <a:spLocks noChangeArrowheads="1"/>
        </xdr:cNvSpPr>
      </xdr:nvSpPr>
      <xdr:spPr bwMode="auto">
        <a:xfrm>
          <a:off x="9606280" y="8221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97" name="Text Box 249">
          <a:extLst>
            <a:ext uri="{FF2B5EF4-FFF2-40B4-BE49-F238E27FC236}">
              <a16:creationId xmlns:a16="http://schemas.microsoft.com/office/drawing/2014/main" id="{3500E9E5-24B7-42C1-9052-8328DDB05CC2}"/>
            </a:ext>
          </a:extLst>
        </xdr:cNvPr>
        <xdr:cNvSpPr txBox="1">
          <a:spLocks noChangeArrowheads="1"/>
        </xdr:cNvSpPr>
      </xdr:nvSpPr>
      <xdr:spPr bwMode="auto">
        <a:xfrm>
          <a:off x="9606280" y="8221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98" name="Text Box 249">
          <a:extLst>
            <a:ext uri="{FF2B5EF4-FFF2-40B4-BE49-F238E27FC236}">
              <a16:creationId xmlns:a16="http://schemas.microsoft.com/office/drawing/2014/main" id="{3C996474-CB82-49EA-B564-EFC1BE8EC792}"/>
            </a:ext>
          </a:extLst>
        </xdr:cNvPr>
        <xdr:cNvSpPr txBox="1">
          <a:spLocks noChangeArrowheads="1"/>
        </xdr:cNvSpPr>
      </xdr:nvSpPr>
      <xdr:spPr bwMode="auto">
        <a:xfrm>
          <a:off x="9606280" y="8221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99" name="Text Box 249">
          <a:extLst>
            <a:ext uri="{FF2B5EF4-FFF2-40B4-BE49-F238E27FC236}">
              <a16:creationId xmlns:a16="http://schemas.microsoft.com/office/drawing/2014/main" id="{E9272A0D-B5FA-44CE-AA7B-28F3320AFBFE}"/>
            </a:ext>
          </a:extLst>
        </xdr:cNvPr>
        <xdr:cNvSpPr txBox="1">
          <a:spLocks noChangeArrowheads="1"/>
        </xdr:cNvSpPr>
      </xdr:nvSpPr>
      <xdr:spPr bwMode="auto">
        <a:xfrm>
          <a:off x="9606280" y="8221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200" name="Text Box 249">
          <a:extLst>
            <a:ext uri="{FF2B5EF4-FFF2-40B4-BE49-F238E27FC236}">
              <a16:creationId xmlns:a16="http://schemas.microsoft.com/office/drawing/2014/main" id="{2BA0FC8B-7260-464B-8CD4-3F423F36C664}"/>
            </a:ext>
          </a:extLst>
        </xdr:cNvPr>
        <xdr:cNvSpPr txBox="1">
          <a:spLocks noChangeArrowheads="1"/>
        </xdr:cNvSpPr>
      </xdr:nvSpPr>
      <xdr:spPr bwMode="auto">
        <a:xfrm>
          <a:off x="9606280" y="8221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04775" cy="210011"/>
    <xdr:sp macro="" textlink="">
      <xdr:nvSpPr>
        <xdr:cNvPr id="201" name="Text Box 249">
          <a:extLst>
            <a:ext uri="{FF2B5EF4-FFF2-40B4-BE49-F238E27FC236}">
              <a16:creationId xmlns:a16="http://schemas.microsoft.com/office/drawing/2014/main" id="{39962A02-2075-4202-AB72-1F8F5A8EF1BE}"/>
            </a:ext>
          </a:extLst>
        </xdr:cNvPr>
        <xdr:cNvSpPr txBox="1">
          <a:spLocks noChangeArrowheads="1"/>
        </xdr:cNvSpPr>
      </xdr:nvSpPr>
      <xdr:spPr bwMode="auto">
        <a:xfrm>
          <a:off x="9608820" y="82211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17326" cy="218324"/>
    <xdr:sp macro="" textlink="">
      <xdr:nvSpPr>
        <xdr:cNvPr id="202" name="Text Box 249">
          <a:extLst>
            <a:ext uri="{FF2B5EF4-FFF2-40B4-BE49-F238E27FC236}">
              <a16:creationId xmlns:a16="http://schemas.microsoft.com/office/drawing/2014/main" id="{4F41AAAA-9E4C-45F1-AF23-6353A6522AAB}"/>
            </a:ext>
          </a:extLst>
        </xdr:cNvPr>
        <xdr:cNvSpPr txBox="1">
          <a:spLocks noChangeArrowheads="1"/>
        </xdr:cNvSpPr>
      </xdr:nvSpPr>
      <xdr:spPr bwMode="auto">
        <a:xfrm>
          <a:off x="9608820" y="82211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203" name="Text Box 249">
          <a:extLst>
            <a:ext uri="{FF2B5EF4-FFF2-40B4-BE49-F238E27FC236}">
              <a16:creationId xmlns:a16="http://schemas.microsoft.com/office/drawing/2014/main" id="{0CDB8A3E-1A15-4812-93BF-8FEEAD6DE053}"/>
            </a:ext>
          </a:extLst>
        </xdr:cNvPr>
        <xdr:cNvSpPr txBox="1">
          <a:spLocks noChangeArrowheads="1"/>
        </xdr:cNvSpPr>
      </xdr:nvSpPr>
      <xdr:spPr bwMode="auto">
        <a:xfrm>
          <a:off x="9606280" y="8221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204" name="Text Box 249">
          <a:extLst>
            <a:ext uri="{FF2B5EF4-FFF2-40B4-BE49-F238E27FC236}">
              <a16:creationId xmlns:a16="http://schemas.microsoft.com/office/drawing/2014/main" id="{FAB32B65-9FE2-4542-80F3-C94BE7D966B7}"/>
            </a:ext>
          </a:extLst>
        </xdr:cNvPr>
        <xdr:cNvSpPr txBox="1">
          <a:spLocks noChangeArrowheads="1"/>
        </xdr:cNvSpPr>
      </xdr:nvSpPr>
      <xdr:spPr bwMode="auto">
        <a:xfrm>
          <a:off x="9606280" y="8221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205" name="Text Box 249">
          <a:extLst>
            <a:ext uri="{FF2B5EF4-FFF2-40B4-BE49-F238E27FC236}">
              <a16:creationId xmlns:a16="http://schemas.microsoft.com/office/drawing/2014/main" id="{CAAC2191-4F4E-4AA1-8542-57172464373C}"/>
            </a:ext>
          </a:extLst>
        </xdr:cNvPr>
        <xdr:cNvSpPr txBox="1">
          <a:spLocks noChangeArrowheads="1"/>
        </xdr:cNvSpPr>
      </xdr:nvSpPr>
      <xdr:spPr bwMode="auto">
        <a:xfrm>
          <a:off x="9606280" y="8221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206" name="Text Box 249">
          <a:extLst>
            <a:ext uri="{FF2B5EF4-FFF2-40B4-BE49-F238E27FC236}">
              <a16:creationId xmlns:a16="http://schemas.microsoft.com/office/drawing/2014/main" id="{6B47347D-0539-4DA8-A5D9-8AA26453B5B1}"/>
            </a:ext>
          </a:extLst>
        </xdr:cNvPr>
        <xdr:cNvSpPr txBox="1">
          <a:spLocks noChangeArrowheads="1"/>
        </xdr:cNvSpPr>
      </xdr:nvSpPr>
      <xdr:spPr bwMode="auto">
        <a:xfrm>
          <a:off x="9606280" y="8221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207" name="Text Box 249">
          <a:extLst>
            <a:ext uri="{FF2B5EF4-FFF2-40B4-BE49-F238E27FC236}">
              <a16:creationId xmlns:a16="http://schemas.microsoft.com/office/drawing/2014/main" id="{27BA2471-DC69-4EC8-A109-A92DEE5A2742}"/>
            </a:ext>
          </a:extLst>
        </xdr:cNvPr>
        <xdr:cNvSpPr txBox="1">
          <a:spLocks noChangeArrowheads="1"/>
        </xdr:cNvSpPr>
      </xdr:nvSpPr>
      <xdr:spPr bwMode="auto">
        <a:xfrm>
          <a:off x="9606280" y="8221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04775" cy="210011"/>
    <xdr:sp macro="" textlink="">
      <xdr:nvSpPr>
        <xdr:cNvPr id="209" name="Text Box 249">
          <a:extLst>
            <a:ext uri="{FF2B5EF4-FFF2-40B4-BE49-F238E27FC236}">
              <a16:creationId xmlns:a16="http://schemas.microsoft.com/office/drawing/2014/main" id="{12637BEE-E36A-4F90-8AB7-14F0AE282AB5}"/>
            </a:ext>
          </a:extLst>
        </xdr:cNvPr>
        <xdr:cNvSpPr txBox="1">
          <a:spLocks noChangeArrowheads="1"/>
        </xdr:cNvSpPr>
      </xdr:nvSpPr>
      <xdr:spPr bwMode="auto">
        <a:xfrm>
          <a:off x="9608820" y="82211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702</xdr:row>
      <xdr:rowOff>0</xdr:rowOff>
    </xdr:from>
    <xdr:ext cx="117326" cy="218324"/>
    <xdr:sp macro="" textlink="">
      <xdr:nvSpPr>
        <xdr:cNvPr id="4" name="Text Box 249">
          <a:extLst>
            <a:ext uri="{FF2B5EF4-FFF2-40B4-BE49-F238E27FC236}">
              <a16:creationId xmlns:a16="http://schemas.microsoft.com/office/drawing/2014/main" id="{91FCC9D7-244B-49CE-AFC1-5D878C6A7224}"/>
            </a:ext>
          </a:extLst>
        </xdr:cNvPr>
        <xdr:cNvSpPr txBox="1">
          <a:spLocks noChangeArrowheads="1"/>
        </xdr:cNvSpPr>
      </xdr:nvSpPr>
      <xdr:spPr bwMode="auto">
        <a:xfrm>
          <a:off x="9608820" y="13639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8" name="Text Box 249">
          <a:extLst>
            <a:ext uri="{FF2B5EF4-FFF2-40B4-BE49-F238E27FC236}">
              <a16:creationId xmlns:a16="http://schemas.microsoft.com/office/drawing/2014/main" id="{6E43C1A4-6880-45CE-8A35-5720552D9F73}"/>
            </a:ext>
          </a:extLst>
        </xdr:cNvPr>
        <xdr:cNvSpPr txBox="1">
          <a:spLocks noChangeArrowheads="1"/>
        </xdr:cNvSpPr>
      </xdr:nvSpPr>
      <xdr:spPr bwMode="auto">
        <a:xfrm>
          <a:off x="9606280" y="13639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12" name="Text Box 249">
          <a:extLst>
            <a:ext uri="{FF2B5EF4-FFF2-40B4-BE49-F238E27FC236}">
              <a16:creationId xmlns:a16="http://schemas.microsoft.com/office/drawing/2014/main" id="{D39A9DF5-53D9-4DD3-9C21-6AB783A256C1}"/>
            </a:ext>
          </a:extLst>
        </xdr:cNvPr>
        <xdr:cNvSpPr txBox="1">
          <a:spLocks noChangeArrowheads="1"/>
        </xdr:cNvSpPr>
      </xdr:nvSpPr>
      <xdr:spPr bwMode="auto">
        <a:xfrm>
          <a:off x="9606280" y="13639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13" name="Text Box 249">
          <a:extLst>
            <a:ext uri="{FF2B5EF4-FFF2-40B4-BE49-F238E27FC236}">
              <a16:creationId xmlns:a16="http://schemas.microsoft.com/office/drawing/2014/main" id="{61C70A8D-1AFE-4BEE-A894-3AAC5A3FCC4D}"/>
            </a:ext>
          </a:extLst>
        </xdr:cNvPr>
        <xdr:cNvSpPr txBox="1">
          <a:spLocks noChangeArrowheads="1"/>
        </xdr:cNvSpPr>
      </xdr:nvSpPr>
      <xdr:spPr bwMode="auto">
        <a:xfrm>
          <a:off x="9606280" y="13639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122" name="Text Box 249">
          <a:extLst>
            <a:ext uri="{FF2B5EF4-FFF2-40B4-BE49-F238E27FC236}">
              <a16:creationId xmlns:a16="http://schemas.microsoft.com/office/drawing/2014/main" id="{6C4797EB-C4C8-4E84-826A-EF6D58A996F3}"/>
            </a:ext>
          </a:extLst>
        </xdr:cNvPr>
        <xdr:cNvSpPr txBox="1">
          <a:spLocks noChangeArrowheads="1"/>
        </xdr:cNvSpPr>
      </xdr:nvSpPr>
      <xdr:spPr bwMode="auto">
        <a:xfrm>
          <a:off x="9606280" y="13639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123" name="Text Box 249">
          <a:extLst>
            <a:ext uri="{FF2B5EF4-FFF2-40B4-BE49-F238E27FC236}">
              <a16:creationId xmlns:a16="http://schemas.microsoft.com/office/drawing/2014/main" id="{42EEF102-AD6C-46FE-84F2-6FFE221CAE8C}"/>
            </a:ext>
          </a:extLst>
        </xdr:cNvPr>
        <xdr:cNvSpPr txBox="1">
          <a:spLocks noChangeArrowheads="1"/>
        </xdr:cNvSpPr>
      </xdr:nvSpPr>
      <xdr:spPr bwMode="auto">
        <a:xfrm>
          <a:off x="9606280" y="13639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124" name="Text Box 249">
          <a:extLst>
            <a:ext uri="{FF2B5EF4-FFF2-40B4-BE49-F238E27FC236}">
              <a16:creationId xmlns:a16="http://schemas.microsoft.com/office/drawing/2014/main" id="{00C76B04-1346-451B-906F-D50E15FCE9FE}"/>
            </a:ext>
          </a:extLst>
        </xdr:cNvPr>
        <xdr:cNvSpPr txBox="1">
          <a:spLocks noChangeArrowheads="1"/>
        </xdr:cNvSpPr>
      </xdr:nvSpPr>
      <xdr:spPr bwMode="auto">
        <a:xfrm>
          <a:off x="9606280" y="13639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707</xdr:row>
      <xdr:rowOff>0</xdr:rowOff>
    </xdr:from>
    <xdr:ext cx="117326" cy="218324"/>
    <xdr:sp macro="" textlink="">
      <xdr:nvSpPr>
        <xdr:cNvPr id="126" name="Text Box 249">
          <a:extLst>
            <a:ext uri="{FF2B5EF4-FFF2-40B4-BE49-F238E27FC236}">
              <a16:creationId xmlns:a16="http://schemas.microsoft.com/office/drawing/2014/main" id="{181A288E-F14F-4362-8E9B-8074D57ADA1F}"/>
            </a:ext>
          </a:extLst>
        </xdr:cNvPr>
        <xdr:cNvSpPr txBox="1">
          <a:spLocks noChangeArrowheads="1"/>
        </xdr:cNvSpPr>
      </xdr:nvSpPr>
      <xdr:spPr bwMode="auto">
        <a:xfrm>
          <a:off x="9608820" y="139784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127" name="Text Box 249">
          <a:extLst>
            <a:ext uri="{FF2B5EF4-FFF2-40B4-BE49-F238E27FC236}">
              <a16:creationId xmlns:a16="http://schemas.microsoft.com/office/drawing/2014/main" id="{9B057DAC-4B31-46B5-9822-B7F92B9C53F6}"/>
            </a:ext>
          </a:extLst>
        </xdr:cNvPr>
        <xdr:cNvSpPr txBox="1">
          <a:spLocks noChangeArrowheads="1"/>
        </xdr:cNvSpPr>
      </xdr:nvSpPr>
      <xdr:spPr bwMode="auto">
        <a:xfrm>
          <a:off x="9606280" y="13978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128" name="Text Box 249">
          <a:extLst>
            <a:ext uri="{FF2B5EF4-FFF2-40B4-BE49-F238E27FC236}">
              <a16:creationId xmlns:a16="http://schemas.microsoft.com/office/drawing/2014/main" id="{8CD6C781-66A5-4013-B4D6-877023189C30}"/>
            </a:ext>
          </a:extLst>
        </xdr:cNvPr>
        <xdr:cNvSpPr txBox="1">
          <a:spLocks noChangeArrowheads="1"/>
        </xdr:cNvSpPr>
      </xdr:nvSpPr>
      <xdr:spPr bwMode="auto">
        <a:xfrm>
          <a:off x="9606280" y="13978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129" name="Text Box 249">
          <a:extLst>
            <a:ext uri="{FF2B5EF4-FFF2-40B4-BE49-F238E27FC236}">
              <a16:creationId xmlns:a16="http://schemas.microsoft.com/office/drawing/2014/main" id="{079DAF7A-02E9-4E45-AC8F-C2741560AE11}"/>
            </a:ext>
          </a:extLst>
        </xdr:cNvPr>
        <xdr:cNvSpPr txBox="1">
          <a:spLocks noChangeArrowheads="1"/>
        </xdr:cNvSpPr>
      </xdr:nvSpPr>
      <xdr:spPr bwMode="auto">
        <a:xfrm>
          <a:off x="9606280" y="13978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130" name="Text Box 249">
          <a:extLst>
            <a:ext uri="{FF2B5EF4-FFF2-40B4-BE49-F238E27FC236}">
              <a16:creationId xmlns:a16="http://schemas.microsoft.com/office/drawing/2014/main" id="{7EA2AD86-8593-4260-B506-B1D3FF1EA206}"/>
            </a:ext>
          </a:extLst>
        </xdr:cNvPr>
        <xdr:cNvSpPr txBox="1">
          <a:spLocks noChangeArrowheads="1"/>
        </xdr:cNvSpPr>
      </xdr:nvSpPr>
      <xdr:spPr bwMode="auto">
        <a:xfrm>
          <a:off x="9606280" y="13978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131" name="Text Box 249">
          <a:extLst>
            <a:ext uri="{FF2B5EF4-FFF2-40B4-BE49-F238E27FC236}">
              <a16:creationId xmlns:a16="http://schemas.microsoft.com/office/drawing/2014/main" id="{C4129703-C1C6-406D-8F0E-96D1335FD415}"/>
            </a:ext>
          </a:extLst>
        </xdr:cNvPr>
        <xdr:cNvSpPr txBox="1">
          <a:spLocks noChangeArrowheads="1"/>
        </xdr:cNvSpPr>
      </xdr:nvSpPr>
      <xdr:spPr bwMode="auto">
        <a:xfrm>
          <a:off x="9606280" y="13978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132" name="Text Box 249">
          <a:extLst>
            <a:ext uri="{FF2B5EF4-FFF2-40B4-BE49-F238E27FC236}">
              <a16:creationId xmlns:a16="http://schemas.microsoft.com/office/drawing/2014/main" id="{E39A4ED0-625A-49B5-B1C8-CE240FBD5C80}"/>
            </a:ext>
          </a:extLst>
        </xdr:cNvPr>
        <xdr:cNvSpPr txBox="1">
          <a:spLocks noChangeArrowheads="1"/>
        </xdr:cNvSpPr>
      </xdr:nvSpPr>
      <xdr:spPr bwMode="auto">
        <a:xfrm>
          <a:off x="9606280" y="13978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707</xdr:row>
      <xdr:rowOff>0</xdr:rowOff>
    </xdr:from>
    <xdr:ext cx="104775" cy="210011"/>
    <xdr:sp macro="" textlink="">
      <xdr:nvSpPr>
        <xdr:cNvPr id="133" name="Text Box 249">
          <a:extLst>
            <a:ext uri="{FF2B5EF4-FFF2-40B4-BE49-F238E27FC236}">
              <a16:creationId xmlns:a16="http://schemas.microsoft.com/office/drawing/2014/main" id="{5759979C-20C2-4CF7-A4DE-5657DEB1B003}"/>
            </a:ext>
          </a:extLst>
        </xdr:cNvPr>
        <xdr:cNvSpPr txBox="1">
          <a:spLocks noChangeArrowheads="1"/>
        </xdr:cNvSpPr>
      </xdr:nvSpPr>
      <xdr:spPr bwMode="auto">
        <a:xfrm>
          <a:off x="9608820" y="139784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134" name="Text Box 249">
          <a:extLst>
            <a:ext uri="{FF2B5EF4-FFF2-40B4-BE49-F238E27FC236}">
              <a16:creationId xmlns:a16="http://schemas.microsoft.com/office/drawing/2014/main" id="{D6BBE622-ACD9-4542-8F4E-B754600362E2}"/>
            </a:ext>
          </a:extLst>
        </xdr:cNvPr>
        <xdr:cNvSpPr txBox="1">
          <a:spLocks noChangeArrowheads="1"/>
        </xdr:cNvSpPr>
      </xdr:nvSpPr>
      <xdr:spPr bwMode="auto">
        <a:xfrm>
          <a:off x="9608820" y="144864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135" name="Text Box 249">
          <a:extLst>
            <a:ext uri="{FF2B5EF4-FFF2-40B4-BE49-F238E27FC236}">
              <a16:creationId xmlns:a16="http://schemas.microsoft.com/office/drawing/2014/main" id="{E6517FBA-E209-4D02-9B64-8BA265F5A2CB}"/>
            </a:ext>
          </a:extLst>
        </xdr:cNvPr>
        <xdr:cNvSpPr txBox="1">
          <a:spLocks noChangeArrowheads="1"/>
        </xdr:cNvSpPr>
      </xdr:nvSpPr>
      <xdr:spPr bwMode="auto">
        <a:xfrm>
          <a:off x="9606280" y="14486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136" name="Text Box 249">
          <a:extLst>
            <a:ext uri="{FF2B5EF4-FFF2-40B4-BE49-F238E27FC236}">
              <a16:creationId xmlns:a16="http://schemas.microsoft.com/office/drawing/2014/main" id="{E908D86B-6A91-4F57-BDE8-4FBF7A0F60A4}"/>
            </a:ext>
          </a:extLst>
        </xdr:cNvPr>
        <xdr:cNvSpPr txBox="1">
          <a:spLocks noChangeArrowheads="1"/>
        </xdr:cNvSpPr>
      </xdr:nvSpPr>
      <xdr:spPr bwMode="auto">
        <a:xfrm>
          <a:off x="9606280" y="14486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137" name="Text Box 249">
          <a:extLst>
            <a:ext uri="{FF2B5EF4-FFF2-40B4-BE49-F238E27FC236}">
              <a16:creationId xmlns:a16="http://schemas.microsoft.com/office/drawing/2014/main" id="{6803B6BD-815C-4CF8-AFE1-AC705411EDAA}"/>
            </a:ext>
          </a:extLst>
        </xdr:cNvPr>
        <xdr:cNvSpPr txBox="1">
          <a:spLocks noChangeArrowheads="1"/>
        </xdr:cNvSpPr>
      </xdr:nvSpPr>
      <xdr:spPr bwMode="auto">
        <a:xfrm>
          <a:off x="9606280" y="14486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0" name="Text Box 249">
          <a:extLst>
            <a:ext uri="{FF2B5EF4-FFF2-40B4-BE49-F238E27FC236}">
              <a16:creationId xmlns:a16="http://schemas.microsoft.com/office/drawing/2014/main" id="{2C505FD1-7AFD-477B-99EB-9FDA4A2032AB}"/>
            </a:ext>
          </a:extLst>
        </xdr:cNvPr>
        <xdr:cNvSpPr txBox="1">
          <a:spLocks noChangeArrowheads="1"/>
        </xdr:cNvSpPr>
      </xdr:nvSpPr>
      <xdr:spPr bwMode="auto">
        <a:xfrm>
          <a:off x="9606280" y="14486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1" name="Text Box 249">
          <a:extLst>
            <a:ext uri="{FF2B5EF4-FFF2-40B4-BE49-F238E27FC236}">
              <a16:creationId xmlns:a16="http://schemas.microsoft.com/office/drawing/2014/main" id="{FBF23700-FB94-4CE7-9555-4C2E519ED13A}"/>
            </a:ext>
          </a:extLst>
        </xdr:cNvPr>
        <xdr:cNvSpPr txBox="1">
          <a:spLocks noChangeArrowheads="1"/>
        </xdr:cNvSpPr>
      </xdr:nvSpPr>
      <xdr:spPr bwMode="auto">
        <a:xfrm>
          <a:off x="9606280" y="14486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2" name="Text Box 249">
          <a:extLst>
            <a:ext uri="{FF2B5EF4-FFF2-40B4-BE49-F238E27FC236}">
              <a16:creationId xmlns:a16="http://schemas.microsoft.com/office/drawing/2014/main" id="{5747B376-80FF-4A62-A200-74576B5EE1A8}"/>
            </a:ext>
          </a:extLst>
        </xdr:cNvPr>
        <xdr:cNvSpPr txBox="1">
          <a:spLocks noChangeArrowheads="1"/>
        </xdr:cNvSpPr>
      </xdr:nvSpPr>
      <xdr:spPr bwMode="auto">
        <a:xfrm>
          <a:off x="9606280" y="14486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13" name="Text Box 249">
          <a:extLst>
            <a:ext uri="{FF2B5EF4-FFF2-40B4-BE49-F238E27FC236}">
              <a16:creationId xmlns:a16="http://schemas.microsoft.com/office/drawing/2014/main" id="{83072796-38AE-4754-A587-2FDFC799A8FC}"/>
            </a:ext>
          </a:extLst>
        </xdr:cNvPr>
        <xdr:cNvSpPr txBox="1">
          <a:spLocks noChangeArrowheads="1"/>
        </xdr:cNvSpPr>
      </xdr:nvSpPr>
      <xdr:spPr bwMode="auto">
        <a:xfrm>
          <a:off x="9608820" y="144864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214" name="Text Box 249">
          <a:extLst>
            <a:ext uri="{FF2B5EF4-FFF2-40B4-BE49-F238E27FC236}">
              <a16:creationId xmlns:a16="http://schemas.microsoft.com/office/drawing/2014/main" id="{ADDAD345-E769-4EDD-8BFB-1CEE3B5EE521}"/>
            </a:ext>
          </a:extLst>
        </xdr:cNvPr>
        <xdr:cNvSpPr txBox="1">
          <a:spLocks noChangeArrowheads="1"/>
        </xdr:cNvSpPr>
      </xdr:nvSpPr>
      <xdr:spPr bwMode="auto">
        <a:xfrm>
          <a:off x="9608820" y="148251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5" name="Text Box 249">
          <a:extLst>
            <a:ext uri="{FF2B5EF4-FFF2-40B4-BE49-F238E27FC236}">
              <a16:creationId xmlns:a16="http://schemas.microsoft.com/office/drawing/2014/main" id="{AD15CFDE-E9B0-494A-8A80-A9AAB4A23A53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6" name="Text Box 249">
          <a:extLst>
            <a:ext uri="{FF2B5EF4-FFF2-40B4-BE49-F238E27FC236}">
              <a16:creationId xmlns:a16="http://schemas.microsoft.com/office/drawing/2014/main" id="{B4B0F3BD-225C-4784-9774-C415E601186F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7" name="Text Box 249">
          <a:extLst>
            <a:ext uri="{FF2B5EF4-FFF2-40B4-BE49-F238E27FC236}">
              <a16:creationId xmlns:a16="http://schemas.microsoft.com/office/drawing/2014/main" id="{24073C8E-5222-427D-8495-C5410B5278F2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8" name="Text Box 249">
          <a:extLst>
            <a:ext uri="{FF2B5EF4-FFF2-40B4-BE49-F238E27FC236}">
              <a16:creationId xmlns:a16="http://schemas.microsoft.com/office/drawing/2014/main" id="{71C0B809-F157-41BE-AE70-CB57972941A6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9" name="Text Box 249">
          <a:extLst>
            <a:ext uri="{FF2B5EF4-FFF2-40B4-BE49-F238E27FC236}">
              <a16:creationId xmlns:a16="http://schemas.microsoft.com/office/drawing/2014/main" id="{64653BE8-90A3-43F2-A953-BFFA5E42CB74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0" name="Text Box 249">
          <a:extLst>
            <a:ext uri="{FF2B5EF4-FFF2-40B4-BE49-F238E27FC236}">
              <a16:creationId xmlns:a16="http://schemas.microsoft.com/office/drawing/2014/main" id="{2422EDBF-34CA-416A-944C-6172BCE16E87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21" name="Text Box 249">
          <a:extLst>
            <a:ext uri="{FF2B5EF4-FFF2-40B4-BE49-F238E27FC236}">
              <a16:creationId xmlns:a16="http://schemas.microsoft.com/office/drawing/2014/main" id="{01AE66CC-5658-4A3D-A474-BFD745823E8F}"/>
            </a:ext>
          </a:extLst>
        </xdr:cNvPr>
        <xdr:cNvSpPr txBox="1">
          <a:spLocks noChangeArrowheads="1"/>
        </xdr:cNvSpPr>
      </xdr:nvSpPr>
      <xdr:spPr bwMode="auto">
        <a:xfrm>
          <a:off x="9608820" y="148251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222" name="Text Box 249">
          <a:extLst>
            <a:ext uri="{FF2B5EF4-FFF2-40B4-BE49-F238E27FC236}">
              <a16:creationId xmlns:a16="http://schemas.microsoft.com/office/drawing/2014/main" id="{B311D576-1D53-4440-A3DA-0EFBCE975D99}"/>
            </a:ext>
          </a:extLst>
        </xdr:cNvPr>
        <xdr:cNvSpPr txBox="1">
          <a:spLocks noChangeArrowheads="1"/>
        </xdr:cNvSpPr>
      </xdr:nvSpPr>
      <xdr:spPr bwMode="auto">
        <a:xfrm>
          <a:off x="9608820" y="149944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3" name="Text Box 249">
          <a:extLst>
            <a:ext uri="{FF2B5EF4-FFF2-40B4-BE49-F238E27FC236}">
              <a16:creationId xmlns:a16="http://schemas.microsoft.com/office/drawing/2014/main" id="{5FE690A3-A452-4856-914C-A8C51CBE20EE}"/>
            </a:ext>
          </a:extLst>
        </xdr:cNvPr>
        <xdr:cNvSpPr txBox="1">
          <a:spLocks noChangeArrowheads="1"/>
        </xdr:cNvSpPr>
      </xdr:nvSpPr>
      <xdr:spPr bwMode="auto">
        <a:xfrm>
          <a:off x="9606280" y="14994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4" name="Text Box 249">
          <a:extLst>
            <a:ext uri="{FF2B5EF4-FFF2-40B4-BE49-F238E27FC236}">
              <a16:creationId xmlns:a16="http://schemas.microsoft.com/office/drawing/2014/main" id="{76B14756-3703-45CF-A61C-DD94CFECF99F}"/>
            </a:ext>
          </a:extLst>
        </xdr:cNvPr>
        <xdr:cNvSpPr txBox="1">
          <a:spLocks noChangeArrowheads="1"/>
        </xdr:cNvSpPr>
      </xdr:nvSpPr>
      <xdr:spPr bwMode="auto">
        <a:xfrm>
          <a:off x="9606280" y="14994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5" name="Text Box 249">
          <a:extLst>
            <a:ext uri="{FF2B5EF4-FFF2-40B4-BE49-F238E27FC236}">
              <a16:creationId xmlns:a16="http://schemas.microsoft.com/office/drawing/2014/main" id="{6B2E814C-2BCB-4AA1-8DB2-C175182B3E7E}"/>
            </a:ext>
          </a:extLst>
        </xdr:cNvPr>
        <xdr:cNvSpPr txBox="1">
          <a:spLocks noChangeArrowheads="1"/>
        </xdr:cNvSpPr>
      </xdr:nvSpPr>
      <xdr:spPr bwMode="auto">
        <a:xfrm>
          <a:off x="9606280" y="14994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6" name="Text Box 249">
          <a:extLst>
            <a:ext uri="{FF2B5EF4-FFF2-40B4-BE49-F238E27FC236}">
              <a16:creationId xmlns:a16="http://schemas.microsoft.com/office/drawing/2014/main" id="{B94BC402-AF48-4495-A06D-BB89A55F45F5}"/>
            </a:ext>
          </a:extLst>
        </xdr:cNvPr>
        <xdr:cNvSpPr txBox="1">
          <a:spLocks noChangeArrowheads="1"/>
        </xdr:cNvSpPr>
      </xdr:nvSpPr>
      <xdr:spPr bwMode="auto">
        <a:xfrm>
          <a:off x="9606280" y="14994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7" name="Text Box 249">
          <a:extLst>
            <a:ext uri="{FF2B5EF4-FFF2-40B4-BE49-F238E27FC236}">
              <a16:creationId xmlns:a16="http://schemas.microsoft.com/office/drawing/2014/main" id="{2E6FB9BC-BFE4-4BAE-BEC3-591D52A4CD4D}"/>
            </a:ext>
          </a:extLst>
        </xdr:cNvPr>
        <xdr:cNvSpPr txBox="1">
          <a:spLocks noChangeArrowheads="1"/>
        </xdr:cNvSpPr>
      </xdr:nvSpPr>
      <xdr:spPr bwMode="auto">
        <a:xfrm>
          <a:off x="9606280" y="14994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8" name="Text Box 249">
          <a:extLst>
            <a:ext uri="{FF2B5EF4-FFF2-40B4-BE49-F238E27FC236}">
              <a16:creationId xmlns:a16="http://schemas.microsoft.com/office/drawing/2014/main" id="{C2F25DDB-705B-4DB5-91A5-F350530F5FD6}"/>
            </a:ext>
          </a:extLst>
        </xdr:cNvPr>
        <xdr:cNvSpPr txBox="1">
          <a:spLocks noChangeArrowheads="1"/>
        </xdr:cNvSpPr>
      </xdr:nvSpPr>
      <xdr:spPr bwMode="auto">
        <a:xfrm>
          <a:off x="9606280" y="149944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29" name="Text Box 249">
          <a:extLst>
            <a:ext uri="{FF2B5EF4-FFF2-40B4-BE49-F238E27FC236}">
              <a16:creationId xmlns:a16="http://schemas.microsoft.com/office/drawing/2014/main" id="{593208EA-2F39-438D-A120-C473BAEA1A8F}"/>
            </a:ext>
          </a:extLst>
        </xdr:cNvPr>
        <xdr:cNvSpPr txBox="1">
          <a:spLocks noChangeArrowheads="1"/>
        </xdr:cNvSpPr>
      </xdr:nvSpPr>
      <xdr:spPr bwMode="auto">
        <a:xfrm>
          <a:off x="9608820" y="149944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230" name="Text Box 249">
          <a:extLst>
            <a:ext uri="{FF2B5EF4-FFF2-40B4-BE49-F238E27FC236}">
              <a16:creationId xmlns:a16="http://schemas.microsoft.com/office/drawing/2014/main" id="{447C87DB-8DF7-4097-8EC2-F6E7C0A57446}"/>
            </a:ext>
          </a:extLst>
        </xdr:cNvPr>
        <xdr:cNvSpPr txBox="1">
          <a:spLocks noChangeArrowheads="1"/>
        </xdr:cNvSpPr>
      </xdr:nvSpPr>
      <xdr:spPr bwMode="auto">
        <a:xfrm>
          <a:off x="9608820" y="148251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1" name="Text Box 249">
          <a:extLst>
            <a:ext uri="{FF2B5EF4-FFF2-40B4-BE49-F238E27FC236}">
              <a16:creationId xmlns:a16="http://schemas.microsoft.com/office/drawing/2014/main" id="{604EA26F-9C52-40F1-BF06-7730DCABABE4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2" name="Text Box 249">
          <a:extLst>
            <a:ext uri="{FF2B5EF4-FFF2-40B4-BE49-F238E27FC236}">
              <a16:creationId xmlns:a16="http://schemas.microsoft.com/office/drawing/2014/main" id="{BF1330BA-1471-4463-8545-36A65E31454F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3" name="Text Box 249">
          <a:extLst>
            <a:ext uri="{FF2B5EF4-FFF2-40B4-BE49-F238E27FC236}">
              <a16:creationId xmlns:a16="http://schemas.microsoft.com/office/drawing/2014/main" id="{4686A570-5AA6-4DF2-8C04-B605B90B310F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4" name="Text Box 249">
          <a:extLst>
            <a:ext uri="{FF2B5EF4-FFF2-40B4-BE49-F238E27FC236}">
              <a16:creationId xmlns:a16="http://schemas.microsoft.com/office/drawing/2014/main" id="{F31A9236-0979-439E-AF25-67040081123E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5" name="Text Box 249">
          <a:extLst>
            <a:ext uri="{FF2B5EF4-FFF2-40B4-BE49-F238E27FC236}">
              <a16:creationId xmlns:a16="http://schemas.microsoft.com/office/drawing/2014/main" id="{DDA6609A-2E37-4B1C-9CD7-3D968287B683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6" name="Text Box 249">
          <a:extLst>
            <a:ext uri="{FF2B5EF4-FFF2-40B4-BE49-F238E27FC236}">
              <a16:creationId xmlns:a16="http://schemas.microsoft.com/office/drawing/2014/main" id="{C6F05436-2D16-4546-AF50-CC684B59BA5A}"/>
            </a:ext>
          </a:extLst>
        </xdr:cNvPr>
        <xdr:cNvSpPr txBox="1">
          <a:spLocks noChangeArrowheads="1"/>
        </xdr:cNvSpPr>
      </xdr:nvSpPr>
      <xdr:spPr bwMode="auto">
        <a:xfrm>
          <a:off x="9606280" y="14825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37" name="Text Box 249">
          <a:extLst>
            <a:ext uri="{FF2B5EF4-FFF2-40B4-BE49-F238E27FC236}">
              <a16:creationId xmlns:a16="http://schemas.microsoft.com/office/drawing/2014/main" id="{B9421475-80BF-4AD9-95BC-1F14E862F4B2}"/>
            </a:ext>
          </a:extLst>
        </xdr:cNvPr>
        <xdr:cNvSpPr txBox="1">
          <a:spLocks noChangeArrowheads="1"/>
        </xdr:cNvSpPr>
      </xdr:nvSpPr>
      <xdr:spPr bwMode="auto">
        <a:xfrm>
          <a:off x="9608820" y="148251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238" name="Text Box 249">
          <a:extLst>
            <a:ext uri="{FF2B5EF4-FFF2-40B4-BE49-F238E27FC236}">
              <a16:creationId xmlns:a16="http://schemas.microsoft.com/office/drawing/2014/main" id="{7C6EF03A-6993-4714-95D1-3096082B04CA}"/>
            </a:ext>
          </a:extLst>
        </xdr:cNvPr>
        <xdr:cNvSpPr txBox="1">
          <a:spLocks noChangeArrowheads="1"/>
        </xdr:cNvSpPr>
      </xdr:nvSpPr>
      <xdr:spPr bwMode="auto">
        <a:xfrm>
          <a:off x="9608820" y="153331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9" name="Text Box 249">
          <a:extLst>
            <a:ext uri="{FF2B5EF4-FFF2-40B4-BE49-F238E27FC236}">
              <a16:creationId xmlns:a16="http://schemas.microsoft.com/office/drawing/2014/main" id="{D6C69003-A221-4A51-895C-9BFB0C41BE55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0" name="Text Box 249">
          <a:extLst>
            <a:ext uri="{FF2B5EF4-FFF2-40B4-BE49-F238E27FC236}">
              <a16:creationId xmlns:a16="http://schemas.microsoft.com/office/drawing/2014/main" id="{46FC10ED-B939-4C81-99A5-870E9A4905FF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1" name="Text Box 249">
          <a:extLst>
            <a:ext uri="{FF2B5EF4-FFF2-40B4-BE49-F238E27FC236}">
              <a16:creationId xmlns:a16="http://schemas.microsoft.com/office/drawing/2014/main" id="{38FBB913-2F56-4A5F-A231-249650BFAF38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2" name="Text Box 249">
          <a:extLst>
            <a:ext uri="{FF2B5EF4-FFF2-40B4-BE49-F238E27FC236}">
              <a16:creationId xmlns:a16="http://schemas.microsoft.com/office/drawing/2014/main" id="{1753208A-EBEA-4E3D-AC3E-CD74570D86E8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3" name="Text Box 249">
          <a:extLst>
            <a:ext uri="{FF2B5EF4-FFF2-40B4-BE49-F238E27FC236}">
              <a16:creationId xmlns:a16="http://schemas.microsoft.com/office/drawing/2014/main" id="{B23D9037-6BE5-467A-A829-DFDB2BD08AFF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4" name="Text Box 249">
          <a:extLst>
            <a:ext uri="{FF2B5EF4-FFF2-40B4-BE49-F238E27FC236}">
              <a16:creationId xmlns:a16="http://schemas.microsoft.com/office/drawing/2014/main" id="{65438649-60BE-4FE8-866B-3EC38A18460D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45" name="Text Box 249">
          <a:extLst>
            <a:ext uri="{FF2B5EF4-FFF2-40B4-BE49-F238E27FC236}">
              <a16:creationId xmlns:a16="http://schemas.microsoft.com/office/drawing/2014/main" id="{99D2AFCC-985E-4C5A-ACE0-61E2A7B13A10}"/>
            </a:ext>
          </a:extLst>
        </xdr:cNvPr>
        <xdr:cNvSpPr txBox="1">
          <a:spLocks noChangeArrowheads="1"/>
        </xdr:cNvSpPr>
      </xdr:nvSpPr>
      <xdr:spPr bwMode="auto">
        <a:xfrm>
          <a:off x="9608820" y="153331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246" name="Text Box 249">
          <a:extLst>
            <a:ext uri="{FF2B5EF4-FFF2-40B4-BE49-F238E27FC236}">
              <a16:creationId xmlns:a16="http://schemas.microsoft.com/office/drawing/2014/main" id="{D5FA4290-DA1A-4D45-B50F-61583D15972F}"/>
            </a:ext>
          </a:extLst>
        </xdr:cNvPr>
        <xdr:cNvSpPr txBox="1">
          <a:spLocks noChangeArrowheads="1"/>
        </xdr:cNvSpPr>
      </xdr:nvSpPr>
      <xdr:spPr bwMode="auto">
        <a:xfrm>
          <a:off x="9608820" y="153331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7" name="Text Box 249">
          <a:extLst>
            <a:ext uri="{FF2B5EF4-FFF2-40B4-BE49-F238E27FC236}">
              <a16:creationId xmlns:a16="http://schemas.microsoft.com/office/drawing/2014/main" id="{5B273B4A-8F56-4506-B16D-323A7BC3DC75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8" name="Text Box 249">
          <a:extLst>
            <a:ext uri="{FF2B5EF4-FFF2-40B4-BE49-F238E27FC236}">
              <a16:creationId xmlns:a16="http://schemas.microsoft.com/office/drawing/2014/main" id="{A7A808CB-A566-4737-9E4B-DDDA6EBA6A94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9" name="Text Box 249">
          <a:extLst>
            <a:ext uri="{FF2B5EF4-FFF2-40B4-BE49-F238E27FC236}">
              <a16:creationId xmlns:a16="http://schemas.microsoft.com/office/drawing/2014/main" id="{87A04D34-67EA-4C4A-ABBD-7CD443D9C8A4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50" name="Text Box 249">
          <a:extLst>
            <a:ext uri="{FF2B5EF4-FFF2-40B4-BE49-F238E27FC236}">
              <a16:creationId xmlns:a16="http://schemas.microsoft.com/office/drawing/2014/main" id="{84362A04-CE40-4BDA-8096-34B72431A609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51" name="Text Box 249">
          <a:extLst>
            <a:ext uri="{FF2B5EF4-FFF2-40B4-BE49-F238E27FC236}">
              <a16:creationId xmlns:a16="http://schemas.microsoft.com/office/drawing/2014/main" id="{06D8ACCA-F67C-4629-981B-3B07BBE5E871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52" name="Text Box 249">
          <a:extLst>
            <a:ext uri="{FF2B5EF4-FFF2-40B4-BE49-F238E27FC236}">
              <a16:creationId xmlns:a16="http://schemas.microsoft.com/office/drawing/2014/main" id="{0831F2A0-1ABC-44FD-8A75-AB4C2453BC31}"/>
            </a:ext>
          </a:extLst>
        </xdr:cNvPr>
        <xdr:cNvSpPr txBox="1">
          <a:spLocks noChangeArrowheads="1"/>
        </xdr:cNvSpPr>
      </xdr:nvSpPr>
      <xdr:spPr bwMode="auto">
        <a:xfrm>
          <a:off x="9606280" y="15333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53" name="Text Box 249">
          <a:extLst>
            <a:ext uri="{FF2B5EF4-FFF2-40B4-BE49-F238E27FC236}">
              <a16:creationId xmlns:a16="http://schemas.microsoft.com/office/drawing/2014/main" id="{0709304F-7DC4-42E6-A345-65CFE83E608A}"/>
            </a:ext>
          </a:extLst>
        </xdr:cNvPr>
        <xdr:cNvSpPr txBox="1">
          <a:spLocks noChangeArrowheads="1"/>
        </xdr:cNvSpPr>
      </xdr:nvSpPr>
      <xdr:spPr bwMode="auto">
        <a:xfrm>
          <a:off x="9608820" y="153331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703</xdr:row>
      <xdr:rowOff>0</xdr:rowOff>
    </xdr:from>
    <xdr:ext cx="117326" cy="218324"/>
    <xdr:sp macro="" textlink="">
      <xdr:nvSpPr>
        <xdr:cNvPr id="254" name="Text Box 249">
          <a:extLst>
            <a:ext uri="{FF2B5EF4-FFF2-40B4-BE49-F238E27FC236}">
              <a16:creationId xmlns:a16="http://schemas.microsoft.com/office/drawing/2014/main" id="{761E9A05-1546-4336-81B3-17715D7C59B8}"/>
            </a:ext>
          </a:extLst>
        </xdr:cNvPr>
        <xdr:cNvSpPr txBox="1">
          <a:spLocks noChangeArrowheads="1"/>
        </xdr:cNvSpPr>
      </xdr:nvSpPr>
      <xdr:spPr bwMode="auto">
        <a:xfrm>
          <a:off x="9608820" y="168571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55" name="Text Box 249">
          <a:extLst>
            <a:ext uri="{FF2B5EF4-FFF2-40B4-BE49-F238E27FC236}">
              <a16:creationId xmlns:a16="http://schemas.microsoft.com/office/drawing/2014/main" id="{027B18A9-A464-40AA-BF7D-67F5CBE35BA9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56" name="Text Box 249">
          <a:extLst>
            <a:ext uri="{FF2B5EF4-FFF2-40B4-BE49-F238E27FC236}">
              <a16:creationId xmlns:a16="http://schemas.microsoft.com/office/drawing/2014/main" id="{6C31EB18-45CC-46C4-B2E0-E03BFFD19184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57" name="Text Box 249">
          <a:extLst>
            <a:ext uri="{FF2B5EF4-FFF2-40B4-BE49-F238E27FC236}">
              <a16:creationId xmlns:a16="http://schemas.microsoft.com/office/drawing/2014/main" id="{44CE2786-40C0-4905-A7EC-D37444BFFD1E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58" name="Text Box 249">
          <a:extLst>
            <a:ext uri="{FF2B5EF4-FFF2-40B4-BE49-F238E27FC236}">
              <a16:creationId xmlns:a16="http://schemas.microsoft.com/office/drawing/2014/main" id="{40E2730C-2AFA-4D57-8068-69495F179D0D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59" name="Text Box 249">
          <a:extLst>
            <a:ext uri="{FF2B5EF4-FFF2-40B4-BE49-F238E27FC236}">
              <a16:creationId xmlns:a16="http://schemas.microsoft.com/office/drawing/2014/main" id="{40C0E1CF-56E7-4839-88E1-73CE44A526E2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60" name="Text Box 249">
          <a:extLst>
            <a:ext uri="{FF2B5EF4-FFF2-40B4-BE49-F238E27FC236}">
              <a16:creationId xmlns:a16="http://schemas.microsoft.com/office/drawing/2014/main" id="{2E8CC0E3-1CC4-44F3-A653-FFDB5270B8BB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703</xdr:row>
      <xdr:rowOff>0</xdr:rowOff>
    </xdr:from>
    <xdr:ext cx="104775" cy="210011"/>
    <xdr:sp macro="" textlink="">
      <xdr:nvSpPr>
        <xdr:cNvPr id="261" name="Text Box 249">
          <a:extLst>
            <a:ext uri="{FF2B5EF4-FFF2-40B4-BE49-F238E27FC236}">
              <a16:creationId xmlns:a16="http://schemas.microsoft.com/office/drawing/2014/main" id="{48C6CD42-F44D-435E-9731-B49B8E78288D}"/>
            </a:ext>
          </a:extLst>
        </xdr:cNvPr>
        <xdr:cNvSpPr txBox="1">
          <a:spLocks noChangeArrowheads="1"/>
        </xdr:cNvSpPr>
      </xdr:nvSpPr>
      <xdr:spPr bwMode="auto">
        <a:xfrm>
          <a:off x="9608820" y="168571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704</xdr:row>
      <xdr:rowOff>0</xdr:rowOff>
    </xdr:from>
    <xdr:ext cx="117326" cy="218324"/>
    <xdr:sp macro="" textlink="">
      <xdr:nvSpPr>
        <xdr:cNvPr id="262" name="Text Box 249">
          <a:extLst>
            <a:ext uri="{FF2B5EF4-FFF2-40B4-BE49-F238E27FC236}">
              <a16:creationId xmlns:a16="http://schemas.microsoft.com/office/drawing/2014/main" id="{0FEC32C1-A9BA-47AF-8FFC-85F485838C15}"/>
            </a:ext>
          </a:extLst>
        </xdr:cNvPr>
        <xdr:cNvSpPr txBox="1">
          <a:spLocks noChangeArrowheads="1"/>
        </xdr:cNvSpPr>
      </xdr:nvSpPr>
      <xdr:spPr bwMode="auto">
        <a:xfrm>
          <a:off x="9608820" y="168571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3" name="Text Box 249">
          <a:extLst>
            <a:ext uri="{FF2B5EF4-FFF2-40B4-BE49-F238E27FC236}">
              <a16:creationId xmlns:a16="http://schemas.microsoft.com/office/drawing/2014/main" id="{7D77E891-2368-489C-B32E-7E729E711B82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4" name="Text Box 249">
          <a:extLst>
            <a:ext uri="{FF2B5EF4-FFF2-40B4-BE49-F238E27FC236}">
              <a16:creationId xmlns:a16="http://schemas.microsoft.com/office/drawing/2014/main" id="{113F5504-6851-4DE8-8BBA-A08C528D464C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5" name="Text Box 249">
          <a:extLst>
            <a:ext uri="{FF2B5EF4-FFF2-40B4-BE49-F238E27FC236}">
              <a16:creationId xmlns:a16="http://schemas.microsoft.com/office/drawing/2014/main" id="{F3EEE3B9-3822-48E7-B2D3-FD9636DD4A9A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6" name="Text Box 249">
          <a:extLst>
            <a:ext uri="{FF2B5EF4-FFF2-40B4-BE49-F238E27FC236}">
              <a16:creationId xmlns:a16="http://schemas.microsoft.com/office/drawing/2014/main" id="{6CD3850E-A410-47C9-A5EA-BE32247D2A9E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7" name="Text Box 249">
          <a:extLst>
            <a:ext uri="{FF2B5EF4-FFF2-40B4-BE49-F238E27FC236}">
              <a16:creationId xmlns:a16="http://schemas.microsoft.com/office/drawing/2014/main" id="{C4D168FB-7E07-436B-9F9E-22E0469B119A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8" name="Text Box 249">
          <a:extLst>
            <a:ext uri="{FF2B5EF4-FFF2-40B4-BE49-F238E27FC236}">
              <a16:creationId xmlns:a16="http://schemas.microsoft.com/office/drawing/2014/main" id="{840652A0-BC92-4FDE-A0BF-29945EDCE45E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704</xdr:row>
      <xdr:rowOff>0</xdr:rowOff>
    </xdr:from>
    <xdr:ext cx="104775" cy="210011"/>
    <xdr:sp macro="" textlink="">
      <xdr:nvSpPr>
        <xdr:cNvPr id="269" name="Text Box 249">
          <a:extLst>
            <a:ext uri="{FF2B5EF4-FFF2-40B4-BE49-F238E27FC236}">
              <a16:creationId xmlns:a16="http://schemas.microsoft.com/office/drawing/2014/main" id="{DA05A1CB-0CD2-45A6-B5C3-413381164E0F}"/>
            </a:ext>
          </a:extLst>
        </xdr:cNvPr>
        <xdr:cNvSpPr txBox="1">
          <a:spLocks noChangeArrowheads="1"/>
        </xdr:cNvSpPr>
      </xdr:nvSpPr>
      <xdr:spPr bwMode="auto">
        <a:xfrm>
          <a:off x="9608820" y="168571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705</xdr:row>
      <xdr:rowOff>0</xdr:rowOff>
    </xdr:from>
    <xdr:ext cx="117326" cy="218324"/>
    <xdr:sp macro="" textlink="">
      <xdr:nvSpPr>
        <xdr:cNvPr id="270" name="Text Box 249">
          <a:extLst>
            <a:ext uri="{FF2B5EF4-FFF2-40B4-BE49-F238E27FC236}">
              <a16:creationId xmlns:a16="http://schemas.microsoft.com/office/drawing/2014/main" id="{AFA7AC49-E541-4CB7-A46E-5DA7064B9ED4}"/>
            </a:ext>
          </a:extLst>
        </xdr:cNvPr>
        <xdr:cNvSpPr txBox="1">
          <a:spLocks noChangeArrowheads="1"/>
        </xdr:cNvSpPr>
      </xdr:nvSpPr>
      <xdr:spPr bwMode="auto">
        <a:xfrm>
          <a:off x="9608820" y="168571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71" name="Text Box 249">
          <a:extLst>
            <a:ext uri="{FF2B5EF4-FFF2-40B4-BE49-F238E27FC236}">
              <a16:creationId xmlns:a16="http://schemas.microsoft.com/office/drawing/2014/main" id="{9712154E-304B-48E3-A8A7-BAFDB545C757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72" name="Text Box 249">
          <a:extLst>
            <a:ext uri="{FF2B5EF4-FFF2-40B4-BE49-F238E27FC236}">
              <a16:creationId xmlns:a16="http://schemas.microsoft.com/office/drawing/2014/main" id="{A90EC0F8-8EEE-4DE3-B601-645BD3B6861E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73" name="Text Box 249">
          <a:extLst>
            <a:ext uri="{FF2B5EF4-FFF2-40B4-BE49-F238E27FC236}">
              <a16:creationId xmlns:a16="http://schemas.microsoft.com/office/drawing/2014/main" id="{AB9454FA-257C-4DAB-B763-01E45E441084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74" name="Text Box 249">
          <a:extLst>
            <a:ext uri="{FF2B5EF4-FFF2-40B4-BE49-F238E27FC236}">
              <a16:creationId xmlns:a16="http://schemas.microsoft.com/office/drawing/2014/main" id="{B2D36047-BDB6-4047-9705-6BF6369CA3E5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75" name="Text Box 249">
          <a:extLst>
            <a:ext uri="{FF2B5EF4-FFF2-40B4-BE49-F238E27FC236}">
              <a16:creationId xmlns:a16="http://schemas.microsoft.com/office/drawing/2014/main" id="{7D2E74BF-79D0-4AFD-A5AD-14905C6AA066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76" name="Text Box 249">
          <a:extLst>
            <a:ext uri="{FF2B5EF4-FFF2-40B4-BE49-F238E27FC236}">
              <a16:creationId xmlns:a16="http://schemas.microsoft.com/office/drawing/2014/main" id="{468E218C-008F-4920-9C9A-68190DA68F73}"/>
            </a:ext>
          </a:extLst>
        </xdr:cNvPr>
        <xdr:cNvSpPr txBox="1">
          <a:spLocks noChangeArrowheads="1"/>
        </xdr:cNvSpPr>
      </xdr:nvSpPr>
      <xdr:spPr bwMode="auto">
        <a:xfrm>
          <a:off x="9606280" y="168571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705</xdr:row>
      <xdr:rowOff>0</xdr:rowOff>
    </xdr:from>
    <xdr:ext cx="104775" cy="210011"/>
    <xdr:sp macro="" textlink="">
      <xdr:nvSpPr>
        <xdr:cNvPr id="277" name="Text Box 249">
          <a:extLst>
            <a:ext uri="{FF2B5EF4-FFF2-40B4-BE49-F238E27FC236}">
              <a16:creationId xmlns:a16="http://schemas.microsoft.com/office/drawing/2014/main" id="{CA7105E5-2538-4A47-A68F-8D28D7B92830}"/>
            </a:ext>
          </a:extLst>
        </xdr:cNvPr>
        <xdr:cNvSpPr txBox="1">
          <a:spLocks noChangeArrowheads="1"/>
        </xdr:cNvSpPr>
      </xdr:nvSpPr>
      <xdr:spPr bwMode="auto">
        <a:xfrm>
          <a:off x="9608820" y="168571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278" name="Text Box 249">
          <a:extLst>
            <a:ext uri="{FF2B5EF4-FFF2-40B4-BE49-F238E27FC236}">
              <a16:creationId xmlns:a16="http://schemas.microsoft.com/office/drawing/2014/main" id="{40630F1C-D0B2-4D75-9E24-083F13826B63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79" name="Text Box 249">
          <a:extLst>
            <a:ext uri="{FF2B5EF4-FFF2-40B4-BE49-F238E27FC236}">
              <a16:creationId xmlns:a16="http://schemas.microsoft.com/office/drawing/2014/main" id="{D1600CDB-F86E-434B-AFA7-0EA6E9B2E716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0" name="Text Box 249">
          <a:extLst>
            <a:ext uri="{FF2B5EF4-FFF2-40B4-BE49-F238E27FC236}">
              <a16:creationId xmlns:a16="http://schemas.microsoft.com/office/drawing/2014/main" id="{81FCE0D1-1945-49C0-9CC3-B6DEA4E1591E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1" name="Text Box 249">
          <a:extLst>
            <a:ext uri="{FF2B5EF4-FFF2-40B4-BE49-F238E27FC236}">
              <a16:creationId xmlns:a16="http://schemas.microsoft.com/office/drawing/2014/main" id="{16C71272-543C-4056-8910-707E7A02EF74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2" name="Text Box 249">
          <a:extLst>
            <a:ext uri="{FF2B5EF4-FFF2-40B4-BE49-F238E27FC236}">
              <a16:creationId xmlns:a16="http://schemas.microsoft.com/office/drawing/2014/main" id="{06950A15-ABE6-4042-961D-33DEA8202ABD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3" name="Text Box 249">
          <a:extLst>
            <a:ext uri="{FF2B5EF4-FFF2-40B4-BE49-F238E27FC236}">
              <a16:creationId xmlns:a16="http://schemas.microsoft.com/office/drawing/2014/main" id="{3206E9AE-FD0C-4153-B6D2-11EA9AE40D25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4" name="Text Box 249">
          <a:extLst>
            <a:ext uri="{FF2B5EF4-FFF2-40B4-BE49-F238E27FC236}">
              <a16:creationId xmlns:a16="http://schemas.microsoft.com/office/drawing/2014/main" id="{D757F7F3-ACD7-40DB-98D0-96B6DC4DB1EF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285" name="Text Box 249">
          <a:extLst>
            <a:ext uri="{FF2B5EF4-FFF2-40B4-BE49-F238E27FC236}">
              <a16:creationId xmlns:a16="http://schemas.microsoft.com/office/drawing/2014/main" id="{599C6F00-D022-4260-8CF1-651817257F3D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286" name="Text Box 249">
          <a:extLst>
            <a:ext uri="{FF2B5EF4-FFF2-40B4-BE49-F238E27FC236}">
              <a16:creationId xmlns:a16="http://schemas.microsoft.com/office/drawing/2014/main" id="{65596FAC-11A4-4FB0-9BFB-9F4E65C9F976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7" name="Text Box 249">
          <a:extLst>
            <a:ext uri="{FF2B5EF4-FFF2-40B4-BE49-F238E27FC236}">
              <a16:creationId xmlns:a16="http://schemas.microsoft.com/office/drawing/2014/main" id="{738A2D10-41A9-4194-BC06-BE3056635725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8" name="Text Box 249">
          <a:extLst>
            <a:ext uri="{FF2B5EF4-FFF2-40B4-BE49-F238E27FC236}">
              <a16:creationId xmlns:a16="http://schemas.microsoft.com/office/drawing/2014/main" id="{7E04B811-002F-4A15-AD38-C5F953DD03B8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9" name="Text Box 249">
          <a:extLst>
            <a:ext uri="{FF2B5EF4-FFF2-40B4-BE49-F238E27FC236}">
              <a16:creationId xmlns:a16="http://schemas.microsoft.com/office/drawing/2014/main" id="{E96AA461-225B-4123-A3FE-790CF7A05611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0" name="Text Box 249">
          <a:extLst>
            <a:ext uri="{FF2B5EF4-FFF2-40B4-BE49-F238E27FC236}">
              <a16:creationId xmlns:a16="http://schemas.microsoft.com/office/drawing/2014/main" id="{DE89A249-5927-452E-B101-D7727A078135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1" name="Text Box 249">
          <a:extLst>
            <a:ext uri="{FF2B5EF4-FFF2-40B4-BE49-F238E27FC236}">
              <a16:creationId xmlns:a16="http://schemas.microsoft.com/office/drawing/2014/main" id="{462E8116-0DDB-4197-95F3-C7ECE8D10DDE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2" name="Text Box 249">
          <a:extLst>
            <a:ext uri="{FF2B5EF4-FFF2-40B4-BE49-F238E27FC236}">
              <a16:creationId xmlns:a16="http://schemas.microsoft.com/office/drawing/2014/main" id="{8CF15E4E-F2C0-4B25-9F5A-8D36DC28C7C9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293" name="Text Box 249">
          <a:extLst>
            <a:ext uri="{FF2B5EF4-FFF2-40B4-BE49-F238E27FC236}">
              <a16:creationId xmlns:a16="http://schemas.microsoft.com/office/drawing/2014/main" id="{F9D8DC79-0297-44FB-95FD-DD2AAD4BAE19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294" name="Text Box 249">
          <a:extLst>
            <a:ext uri="{FF2B5EF4-FFF2-40B4-BE49-F238E27FC236}">
              <a16:creationId xmlns:a16="http://schemas.microsoft.com/office/drawing/2014/main" id="{AF5E7995-E501-45F7-A10D-266BE7BD5C58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5" name="Text Box 249">
          <a:extLst>
            <a:ext uri="{FF2B5EF4-FFF2-40B4-BE49-F238E27FC236}">
              <a16:creationId xmlns:a16="http://schemas.microsoft.com/office/drawing/2014/main" id="{8E7816BD-A981-4BE8-967F-330A9B22CF8F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6" name="Text Box 249">
          <a:extLst>
            <a:ext uri="{FF2B5EF4-FFF2-40B4-BE49-F238E27FC236}">
              <a16:creationId xmlns:a16="http://schemas.microsoft.com/office/drawing/2014/main" id="{55D0D935-7FAD-41D0-A460-70B6AA2F013D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7" name="Text Box 249">
          <a:extLst>
            <a:ext uri="{FF2B5EF4-FFF2-40B4-BE49-F238E27FC236}">
              <a16:creationId xmlns:a16="http://schemas.microsoft.com/office/drawing/2014/main" id="{456488D6-6191-4B2E-AD5D-F0DEB0FCAC91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8" name="Text Box 249">
          <a:extLst>
            <a:ext uri="{FF2B5EF4-FFF2-40B4-BE49-F238E27FC236}">
              <a16:creationId xmlns:a16="http://schemas.microsoft.com/office/drawing/2014/main" id="{9E14EBB0-76FB-445E-8417-46A88D024A73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9" name="Text Box 249">
          <a:extLst>
            <a:ext uri="{FF2B5EF4-FFF2-40B4-BE49-F238E27FC236}">
              <a16:creationId xmlns:a16="http://schemas.microsoft.com/office/drawing/2014/main" id="{9A57E948-FB87-44A6-99AB-A640886E1087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0" name="Text Box 249">
          <a:extLst>
            <a:ext uri="{FF2B5EF4-FFF2-40B4-BE49-F238E27FC236}">
              <a16:creationId xmlns:a16="http://schemas.microsoft.com/office/drawing/2014/main" id="{6FACFD83-8499-4353-835C-FE9F8FAFC520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301" name="Text Box 249">
          <a:extLst>
            <a:ext uri="{FF2B5EF4-FFF2-40B4-BE49-F238E27FC236}">
              <a16:creationId xmlns:a16="http://schemas.microsoft.com/office/drawing/2014/main" id="{86760426-F721-4EB9-993E-02732AB2D78A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302" name="Text Box 249">
          <a:extLst>
            <a:ext uri="{FF2B5EF4-FFF2-40B4-BE49-F238E27FC236}">
              <a16:creationId xmlns:a16="http://schemas.microsoft.com/office/drawing/2014/main" id="{38C8CBE0-5C0D-4924-84DF-ECA4605027F0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3" name="Text Box 249">
          <a:extLst>
            <a:ext uri="{FF2B5EF4-FFF2-40B4-BE49-F238E27FC236}">
              <a16:creationId xmlns:a16="http://schemas.microsoft.com/office/drawing/2014/main" id="{6788AD96-1281-4073-98C6-F3747E52FF7B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4" name="Text Box 249">
          <a:extLst>
            <a:ext uri="{FF2B5EF4-FFF2-40B4-BE49-F238E27FC236}">
              <a16:creationId xmlns:a16="http://schemas.microsoft.com/office/drawing/2014/main" id="{B4FF4124-E782-421F-8AC8-8621D4AEC3B1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5" name="Text Box 249">
          <a:extLst>
            <a:ext uri="{FF2B5EF4-FFF2-40B4-BE49-F238E27FC236}">
              <a16:creationId xmlns:a16="http://schemas.microsoft.com/office/drawing/2014/main" id="{D382B625-F06D-4967-96C8-2228D22A8CEE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6" name="Text Box 249">
          <a:extLst>
            <a:ext uri="{FF2B5EF4-FFF2-40B4-BE49-F238E27FC236}">
              <a16:creationId xmlns:a16="http://schemas.microsoft.com/office/drawing/2014/main" id="{9E4CBFD2-28E7-4152-82FB-5E9E4426DB63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7" name="Text Box 249">
          <a:extLst>
            <a:ext uri="{FF2B5EF4-FFF2-40B4-BE49-F238E27FC236}">
              <a16:creationId xmlns:a16="http://schemas.microsoft.com/office/drawing/2014/main" id="{0C47674E-06B9-4B06-9D7E-F0FBC91FE172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8" name="Text Box 249">
          <a:extLst>
            <a:ext uri="{FF2B5EF4-FFF2-40B4-BE49-F238E27FC236}">
              <a16:creationId xmlns:a16="http://schemas.microsoft.com/office/drawing/2014/main" id="{A7F94CE3-18ED-4FD1-962B-1B1B2ED2C659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309" name="Text Box 249">
          <a:extLst>
            <a:ext uri="{FF2B5EF4-FFF2-40B4-BE49-F238E27FC236}">
              <a16:creationId xmlns:a16="http://schemas.microsoft.com/office/drawing/2014/main" id="{6AB5F51E-752F-4943-A3F1-94F70ACC0106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10" name="Text Box 249">
          <a:extLst>
            <a:ext uri="{FF2B5EF4-FFF2-40B4-BE49-F238E27FC236}">
              <a16:creationId xmlns:a16="http://schemas.microsoft.com/office/drawing/2014/main" id="{6F0BC9DF-A1C0-43C6-A2AC-EF09F53723F2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1" name="Text Box 249">
          <a:extLst>
            <a:ext uri="{FF2B5EF4-FFF2-40B4-BE49-F238E27FC236}">
              <a16:creationId xmlns:a16="http://schemas.microsoft.com/office/drawing/2014/main" id="{EDE26B35-9E80-4209-A7CD-D201CCDED985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2" name="Text Box 249">
          <a:extLst>
            <a:ext uri="{FF2B5EF4-FFF2-40B4-BE49-F238E27FC236}">
              <a16:creationId xmlns:a16="http://schemas.microsoft.com/office/drawing/2014/main" id="{0774C692-EC71-4B83-B1BD-AA597811B1C9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3" name="Text Box 249">
          <a:extLst>
            <a:ext uri="{FF2B5EF4-FFF2-40B4-BE49-F238E27FC236}">
              <a16:creationId xmlns:a16="http://schemas.microsoft.com/office/drawing/2014/main" id="{6E07B0CF-B35C-4A80-8761-6B368EEA01B2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4" name="Text Box 249">
          <a:extLst>
            <a:ext uri="{FF2B5EF4-FFF2-40B4-BE49-F238E27FC236}">
              <a16:creationId xmlns:a16="http://schemas.microsoft.com/office/drawing/2014/main" id="{C7E9D239-5EE8-4383-94D0-4B545977CC77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5" name="Text Box 249">
          <a:extLst>
            <a:ext uri="{FF2B5EF4-FFF2-40B4-BE49-F238E27FC236}">
              <a16:creationId xmlns:a16="http://schemas.microsoft.com/office/drawing/2014/main" id="{E6690B96-98F0-4B98-AC0C-6BF1610816AC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6" name="Text Box 249">
          <a:extLst>
            <a:ext uri="{FF2B5EF4-FFF2-40B4-BE49-F238E27FC236}">
              <a16:creationId xmlns:a16="http://schemas.microsoft.com/office/drawing/2014/main" id="{BE80E65C-E578-46F8-B4C3-085284CCD27D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17" name="Text Box 249">
          <a:extLst>
            <a:ext uri="{FF2B5EF4-FFF2-40B4-BE49-F238E27FC236}">
              <a16:creationId xmlns:a16="http://schemas.microsoft.com/office/drawing/2014/main" id="{C2677DCE-D6D1-49E9-AE0E-8ADA42349A87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18" name="Text Box 249">
          <a:extLst>
            <a:ext uri="{FF2B5EF4-FFF2-40B4-BE49-F238E27FC236}">
              <a16:creationId xmlns:a16="http://schemas.microsoft.com/office/drawing/2014/main" id="{3EC7068D-9E5E-4658-BB0C-2C826009C4F5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9" name="Text Box 249">
          <a:extLst>
            <a:ext uri="{FF2B5EF4-FFF2-40B4-BE49-F238E27FC236}">
              <a16:creationId xmlns:a16="http://schemas.microsoft.com/office/drawing/2014/main" id="{B03CDD36-2C62-4B43-BE32-E56589B97F09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20" name="Text Box 249">
          <a:extLst>
            <a:ext uri="{FF2B5EF4-FFF2-40B4-BE49-F238E27FC236}">
              <a16:creationId xmlns:a16="http://schemas.microsoft.com/office/drawing/2014/main" id="{3026969C-0BAC-4EE9-8D83-4B99038485E0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21" name="Text Box 249">
          <a:extLst>
            <a:ext uri="{FF2B5EF4-FFF2-40B4-BE49-F238E27FC236}">
              <a16:creationId xmlns:a16="http://schemas.microsoft.com/office/drawing/2014/main" id="{56DABB78-193D-41F7-B110-5AD094C6BE10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22" name="Text Box 249">
          <a:extLst>
            <a:ext uri="{FF2B5EF4-FFF2-40B4-BE49-F238E27FC236}">
              <a16:creationId xmlns:a16="http://schemas.microsoft.com/office/drawing/2014/main" id="{0E62B542-B219-480D-989F-CADA6C847B8D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23" name="Text Box 249">
          <a:extLst>
            <a:ext uri="{FF2B5EF4-FFF2-40B4-BE49-F238E27FC236}">
              <a16:creationId xmlns:a16="http://schemas.microsoft.com/office/drawing/2014/main" id="{5E16580A-AFE6-4FF2-A8E8-3822BFE7DBBA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24" name="Text Box 249">
          <a:extLst>
            <a:ext uri="{FF2B5EF4-FFF2-40B4-BE49-F238E27FC236}">
              <a16:creationId xmlns:a16="http://schemas.microsoft.com/office/drawing/2014/main" id="{E1DAB32B-10C0-41DC-A254-963C9411B05E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25" name="Text Box 249">
          <a:extLst>
            <a:ext uri="{FF2B5EF4-FFF2-40B4-BE49-F238E27FC236}">
              <a16:creationId xmlns:a16="http://schemas.microsoft.com/office/drawing/2014/main" id="{CCB9F3F7-0993-4342-9B9C-D70C222D0151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326" name="Text Box 249">
          <a:extLst>
            <a:ext uri="{FF2B5EF4-FFF2-40B4-BE49-F238E27FC236}">
              <a16:creationId xmlns:a16="http://schemas.microsoft.com/office/drawing/2014/main" id="{5F95A68D-5A7F-42D5-9B41-C05C09B5E777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27" name="Text Box 249">
          <a:extLst>
            <a:ext uri="{FF2B5EF4-FFF2-40B4-BE49-F238E27FC236}">
              <a16:creationId xmlns:a16="http://schemas.microsoft.com/office/drawing/2014/main" id="{9F3C9B12-7373-4258-AEE6-18B50E6C2BC5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28" name="Text Box 249">
          <a:extLst>
            <a:ext uri="{FF2B5EF4-FFF2-40B4-BE49-F238E27FC236}">
              <a16:creationId xmlns:a16="http://schemas.microsoft.com/office/drawing/2014/main" id="{CD4E10ED-1903-4FC6-AE92-D4D716859E30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29" name="Text Box 249">
          <a:extLst>
            <a:ext uri="{FF2B5EF4-FFF2-40B4-BE49-F238E27FC236}">
              <a16:creationId xmlns:a16="http://schemas.microsoft.com/office/drawing/2014/main" id="{FE18D183-3A6D-4151-A7AE-E9ECE11909FF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0" name="Text Box 249">
          <a:extLst>
            <a:ext uri="{FF2B5EF4-FFF2-40B4-BE49-F238E27FC236}">
              <a16:creationId xmlns:a16="http://schemas.microsoft.com/office/drawing/2014/main" id="{98622F06-53DB-429E-9C6D-0299386FCA8B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1" name="Text Box 249">
          <a:extLst>
            <a:ext uri="{FF2B5EF4-FFF2-40B4-BE49-F238E27FC236}">
              <a16:creationId xmlns:a16="http://schemas.microsoft.com/office/drawing/2014/main" id="{A68A4A23-F18B-46AE-A262-99BDD1D987D9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2" name="Text Box 249">
          <a:extLst>
            <a:ext uri="{FF2B5EF4-FFF2-40B4-BE49-F238E27FC236}">
              <a16:creationId xmlns:a16="http://schemas.microsoft.com/office/drawing/2014/main" id="{D8E52BBF-66AB-4077-9FFC-6A7F9EE4DE43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333" name="Text Box 249">
          <a:extLst>
            <a:ext uri="{FF2B5EF4-FFF2-40B4-BE49-F238E27FC236}">
              <a16:creationId xmlns:a16="http://schemas.microsoft.com/office/drawing/2014/main" id="{02BA6B52-2795-41DA-9C2B-9EC01BBEA1B8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334" name="Text Box 249">
          <a:extLst>
            <a:ext uri="{FF2B5EF4-FFF2-40B4-BE49-F238E27FC236}">
              <a16:creationId xmlns:a16="http://schemas.microsoft.com/office/drawing/2014/main" id="{51251952-0A24-4CC7-ADBC-E39113E4CBA2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5" name="Text Box 249">
          <a:extLst>
            <a:ext uri="{FF2B5EF4-FFF2-40B4-BE49-F238E27FC236}">
              <a16:creationId xmlns:a16="http://schemas.microsoft.com/office/drawing/2014/main" id="{2D361D2B-67CE-4D12-A9D0-C062C0E49DFD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6" name="Text Box 249">
          <a:extLst>
            <a:ext uri="{FF2B5EF4-FFF2-40B4-BE49-F238E27FC236}">
              <a16:creationId xmlns:a16="http://schemas.microsoft.com/office/drawing/2014/main" id="{F210ABD1-4501-4FCC-AEB3-CEBFD782C907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7" name="Text Box 249">
          <a:extLst>
            <a:ext uri="{FF2B5EF4-FFF2-40B4-BE49-F238E27FC236}">
              <a16:creationId xmlns:a16="http://schemas.microsoft.com/office/drawing/2014/main" id="{B63C994E-A520-4B61-9401-85145453A3E2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8" name="Text Box 249">
          <a:extLst>
            <a:ext uri="{FF2B5EF4-FFF2-40B4-BE49-F238E27FC236}">
              <a16:creationId xmlns:a16="http://schemas.microsoft.com/office/drawing/2014/main" id="{85F3C3FB-5952-4F9C-AC63-A8154612A738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9" name="Text Box 249">
          <a:extLst>
            <a:ext uri="{FF2B5EF4-FFF2-40B4-BE49-F238E27FC236}">
              <a16:creationId xmlns:a16="http://schemas.microsoft.com/office/drawing/2014/main" id="{9B5EFDD0-68BD-4E41-AF31-B7C65A5FC407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40" name="Text Box 249">
          <a:extLst>
            <a:ext uri="{FF2B5EF4-FFF2-40B4-BE49-F238E27FC236}">
              <a16:creationId xmlns:a16="http://schemas.microsoft.com/office/drawing/2014/main" id="{0036E43F-999D-4F80-BDC7-E85633E24DF1}"/>
            </a:ext>
          </a:extLst>
        </xdr:cNvPr>
        <xdr:cNvSpPr txBox="1">
          <a:spLocks noChangeArrowheads="1"/>
        </xdr:cNvSpPr>
      </xdr:nvSpPr>
      <xdr:spPr bwMode="auto">
        <a:xfrm>
          <a:off x="9557385" y="831532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341" name="Text Box 249">
          <a:extLst>
            <a:ext uri="{FF2B5EF4-FFF2-40B4-BE49-F238E27FC236}">
              <a16:creationId xmlns:a16="http://schemas.microsoft.com/office/drawing/2014/main" id="{32509F6A-E8B2-4CE9-AF3A-32DD5B913C30}"/>
            </a:ext>
          </a:extLst>
        </xdr:cNvPr>
        <xdr:cNvSpPr txBox="1">
          <a:spLocks noChangeArrowheads="1"/>
        </xdr:cNvSpPr>
      </xdr:nvSpPr>
      <xdr:spPr bwMode="auto">
        <a:xfrm>
          <a:off x="9559925" y="831532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42" name="Text Box 249">
          <a:extLst>
            <a:ext uri="{FF2B5EF4-FFF2-40B4-BE49-F238E27FC236}">
              <a16:creationId xmlns:a16="http://schemas.microsoft.com/office/drawing/2014/main" id="{82A8CF61-CD3F-4EF2-B30C-C218C01A4C9A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3" name="Text Box 249">
          <a:extLst>
            <a:ext uri="{FF2B5EF4-FFF2-40B4-BE49-F238E27FC236}">
              <a16:creationId xmlns:a16="http://schemas.microsoft.com/office/drawing/2014/main" id="{4E764806-BCC9-487E-B540-F7FEB25D3173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4" name="Text Box 249">
          <a:extLst>
            <a:ext uri="{FF2B5EF4-FFF2-40B4-BE49-F238E27FC236}">
              <a16:creationId xmlns:a16="http://schemas.microsoft.com/office/drawing/2014/main" id="{5B7D0B0F-3858-42D5-921C-F78B9AC0C91E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5" name="Text Box 249">
          <a:extLst>
            <a:ext uri="{FF2B5EF4-FFF2-40B4-BE49-F238E27FC236}">
              <a16:creationId xmlns:a16="http://schemas.microsoft.com/office/drawing/2014/main" id="{62393288-D0BC-408E-BAF5-8D5B815F4BA7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6" name="Text Box 249">
          <a:extLst>
            <a:ext uri="{FF2B5EF4-FFF2-40B4-BE49-F238E27FC236}">
              <a16:creationId xmlns:a16="http://schemas.microsoft.com/office/drawing/2014/main" id="{FE849326-197D-416A-8D8B-84DA35DD0351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7" name="Text Box 249">
          <a:extLst>
            <a:ext uri="{FF2B5EF4-FFF2-40B4-BE49-F238E27FC236}">
              <a16:creationId xmlns:a16="http://schemas.microsoft.com/office/drawing/2014/main" id="{D9F08BA0-049B-4DBC-B7EA-B0E37E54A0C2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8" name="Text Box 249">
          <a:extLst>
            <a:ext uri="{FF2B5EF4-FFF2-40B4-BE49-F238E27FC236}">
              <a16:creationId xmlns:a16="http://schemas.microsoft.com/office/drawing/2014/main" id="{5296ECAB-777C-43D5-8B0E-DA8AD9A55C02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49" name="Text Box 249">
          <a:extLst>
            <a:ext uri="{FF2B5EF4-FFF2-40B4-BE49-F238E27FC236}">
              <a16:creationId xmlns:a16="http://schemas.microsoft.com/office/drawing/2014/main" id="{10E3C49E-A866-4B9A-8120-B68214B019C6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50" name="Text Box 249">
          <a:extLst>
            <a:ext uri="{FF2B5EF4-FFF2-40B4-BE49-F238E27FC236}">
              <a16:creationId xmlns:a16="http://schemas.microsoft.com/office/drawing/2014/main" id="{998D52BD-8BC0-4A5D-B611-535C441ACA40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1" name="Text Box 249">
          <a:extLst>
            <a:ext uri="{FF2B5EF4-FFF2-40B4-BE49-F238E27FC236}">
              <a16:creationId xmlns:a16="http://schemas.microsoft.com/office/drawing/2014/main" id="{ABC598E2-7868-46F1-A9F8-108F09A0673C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2" name="Text Box 249">
          <a:extLst>
            <a:ext uri="{FF2B5EF4-FFF2-40B4-BE49-F238E27FC236}">
              <a16:creationId xmlns:a16="http://schemas.microsoft.com/office/drawing/2014/main" id="{AFE56133-7237-4206-98A6-BA9B3952D6AC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3" name="Text Box 249">
          <a:extLst>
            <a:ext uri="{FF2B5EF4-FFF2-40B4-BE49-F238E27FC236}">
              <a16:creationId xmlns:a16="http://schemas.microsoft.com/office/drawing/2014/main" id="{C4B57AF2-370E-42B5-BB52-65D3BCDA8A87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4" name="Text Box 249">
          <a:extLst>
            <a:ext uri="{FF2B5EF4-FFF2-40B4-BE49-F238E27FC236}">
              <a16:creationId xmlns:a16="http://schemas.microsoft.com/office/drawing/2014/main" id="{694D1BFE-C7EC-4AD7-8E45-5CB1CF48EAFD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5" name="Text Box 249">
          <a:extLst>
            <a:ext uri="{FF2B5EF4-FFF2-40B4-BE49-F238E27FC236}">
              <a16:creationId xmlns:a16="http://schemas.microsoft.com/office/drawing/2014/main" id="{B09F2E37-5D93-48BA-AC16-EADD95597790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6" name="Text Box 249">
          <a:extLst>
            <a:ext uri="{FF2B5EF4-FFF2-40B4-BE49-F238E27FC236}">
              <a16:creationId xmlns:a16="http://schemas.microsoft.com/office/drawing/2014/main" id="{D43A7772-146F-4B19-A55D-7B6247A07FA4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57" name="Text Box 249">
          <a:extLst>
            <a:ext uri="{FF2B5EF4-FFF2-40B4-BE49-F238E27FC236}">
              <a16:creationId xmlns:a16="http://schemas.microsoft.com/office/drawing/2014/main" id="{9159E4C7-27B8-4E85-9D44-F9CDBF10366E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58" name="Text Box 249">
          <a:extLst>
            <a:ext uri="{FF2B5EF4-FFF2-40B4-BE49-F238E27FC236}">
              <a16:creationId xmlns:a16="http://schemas.microsoft.com/office/drawing/2014/main" id="{DF959015-489B-4861-8C84-CCAD21A2B6D9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9" name="Text Box 249">
          <a:extLst>
            <a:ext uri="{FF2B5EF4-FFF2-40B4-BE49-F238E27FC236}">
              <a16:creationId xmlns:a16="http://schemas.microsoft.com/office/drawing/2014/main" id="{123C39A2-BAF3-4913-853D-E72355A3B364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0" name="Text Box 249">
          <a:extLst>
            <a:ext uri="{FF2B5EF4-FFF2-40B4-BE49-F238E27FC236}">
              <a16:creationId xmlns:a16="http://schemas.microsoft.com/office/drawing/2014/main" id="{8EAA019E-EA0B-4AC9-87B2-90652A50799A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1" name="Text Box 249">
          <a:extLst>
            <a:ext uri="{FF2B5EF4-FFF2-40B4-BE49-F238E27FC236}">
              <a16:creationId xmlns:a16="http://schemas.microsoft.com/office/drawing/2014/main" id="{75DD3C57-E265-4C75-9868-94FFA6DEF465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2" name="Text Box 249">
          <a:extLst>
            <a:ext uri="{FF2B5EF4-FFF2-40B4-BE49-F238E27FC236}">
              <a16:creationId xmlns:a16="http://schemas.microsoft.com/office/drawing/2014/main" id="{5ACE8EB9-9D2E-4D99-AFBE-CD1156AD099D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3" name="Text Box 249">
          <a:extLst>
            <a:ext uri="{FF2B5EF4-FFF2-40B4-BE49-F238E27FC236}">
              <a16:creationId xmlns:a16="http://schemas.microsoft.com/office/drawing/2014/main" id="{487FF24F-1F86-4FF5-879E-AC7FA61BAC5A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4" name="Text Box 249">
          <a:extLst>
            <a:ext uri="{FF2B5EF4-FFF2-40B4-BE49-F238E27FC236}">
              <a16:creationId xmlns:a16="http://schemas.microsoft.com/office/drawing/2014/main" id="{90608412-71A5-42F3-A9B5-DA52CCBB40AE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65" name="Text Box 249">
          <a:extLst>
            <a:ext uri="{FF2B5EF4-FFF2-40B4-BE49-F238E27FC236}">
              <a16:creationId xmlns:a16="http://schemas.microsoft.com/office/drawing/2014/main" id="{D2A9F15C-30B2-46DB-B8E2-8B149B94FF26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66" name="Text Box 249">
          <a:extLst>
            <a:ext uri="{FF2B5EF4-FFF2-40B4-BE49-F238E27FC236}">
              <a16:creationId xmlns:a16="http://schemas.microsoft.com/office/drawing/2014/main" id="{A2DEB9BC-D7A2-4B29-8B1B-D953483A6720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7" name="Text Box 249">
          <a:extLst>
            <a:ext uri="{FF2B5EF4-FFF2-40B4-BE49-F238E27FC236}">
              <a16:creationId xmlns:a16="http://schemas.microsoft.com/office/drawing/2014/main" id="{86D2BA19-B2C6-4F0B-891D-F3EF84035C00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8" name="Text Box 249">
          <a:extLst>
            <a:ext uri="{FF2B5EF4-FFF2-40B4-BE49-F238E27FC236}">
              <a16:creationId xmlns:a16="http://schemas.microsoft.com/office/drawing/2014/main" id="{E4DC071B-39AD-4B76-B016-5E3891FD43E3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9" name="Text Box 249">
          <a:extLst>
            <a:ext uri="{FF2B5EF4-FFF2-40B4-BE49-F238E27FC236}">
              <a16:creationId xmlns:a16="http://schemas.microsoft.com/office/drawing/2014/main" id="{FA1BE8C6-0CFA-49EC-AA42-572E45905941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70" name="Text Box 249">
          <a:extLst>
            <a:ext uri="{FF2B5EF4-FFF2-40B4-BE49-F238E27FC236}">
              <a16:creationId xmlns:a16="http://schemas.microsoft.com/office/drawing/2014/main" id="{581B5099-A44F-49BD-81EC-B7AF1504DAE9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71" name="Text Box 249">
          <a:extLst>
            <a:ext uri="{FF2B5EF4-FFF2-40B4-BE49-F238E27FC236}">
              <a16:creationId xmlns:a16="http://schemas.microsoft.com/office/drawing/2014/main" id="{1DDE7266-1177-425D-9C36-D18FF5E2354D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72" name="Text Box 249">
          <a:extLst>
            <a:ext uri="{FF2B5EF4-FFF2-40B4-BE49-F238E27FC236}">
              <a16:creationId xmlns:a16="http://schemas.microsoft.com/office/drawing/2014/main" id="{3D4D025E-0264-4827-A70D-BE55D28659D0}"/>
            </a:ext>
          </a:extLst>
        </xdr:cNvPr>
        <xdr:cNvSpPr txBox="1">
          <a:spLocks noChangeArrowheads="1"/>
        </xdr:cNvSpPr>
      </xdr:nvSpPr>
      <xdr:spPr bwMode="auto">
        <a:xfrm>
          <a:off x="9557385" y="848677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73" name="Text Box 249">
          <a:extLst>
            <a:ext uri="{FF2B5EF4-FFF2-40B4-BE49-F238E27FC236}">
              <a16:creationId xmlns:a16="http://schemas.microsoft.com/office/drawing/2014/main" id="{F545979B-655B-4ABC-B6EA-B539BFAFC125}"/>
            </a:ext>
          </a:extLst>
        </xdr:cNvPr>
        <xdr:cNvSpPr txBox="1">
          <a:spLocks noChangeArrowheads="1"/>
        </xdr:cNvSpPr>
      </xdr:nvSpPr>
      <xdr:spPr bwMode="auto">
        <a:xfrm>
          <a:off x="9559925" y="848677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708</xdr:row>
      <xdr:rowOff>0</xdr:rowOff>
    </xdr:from>
    <xdr:ext cx="117326" cy="218324"/>
    <xdr:sp macro="" textlink="">
      <xdr:nvSpPr>
        <xdr:cNvPr id="374" name="Text Box 249">
          <a:extLst>
            <a:ext uri="{FF2B5EF4-FFF2-40B4-BE49-F238E27FC236}">
              <a16:creationId xmlns:a16="http://schemas.microsoft.com/office/drawing/2014/main" id="{50DA5002-6E2C-483B-B4AB-24D83445DEAB}"/>
            </a:ext>
          </a:extLst>
        </xdr:cNvPr>
        <xdr:cNvSpPr txBox="1">
          <a:spLocks noChangeArrowheads="1"/>
        </xdr:cNvSpPr>
      </xdr:nvSpPr>
      <xdr:spPr bwMode="auto">
        <a:xfrm>
          <a:off x="9563100" y="15163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75" name="Text Box 249">
          <a:extLst>
            <a:ext uri="{FF2B5EF4-FFF2-40B4-BE49-F238E27FC236}">
              <a16:creationId xmlns:a16="http://schemas.microsoft.com/office/drawing/2014/main" id="{14E9ABE1-588C-4B61-90BA-544868FC53AF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76" name="Text Box 249">
          <a:extLst>
            <a:ext uri="{FF2B5EF4-FFF2-40B4-BE49-F238E27FC236}">
              <a16:creationId xmlns:a16="http://schemas.microsoft.com/office/drawing/2014/main" id="{9099E033-6D93-4874-B7DE-14320BFC6ED0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77" name="Text Box 249">
          <a:extLst>
            <a:ext uri="{FF2B5EF4-FFF2-40B4-BE49-F238E27FC236}">
              <a16:creationId xmlns:a16="http://schemas.microsoft.com/office/drawing/2014/main" id="{65EDBE99-7C60-4204-AF4E-761CA947509E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78" name="Text Box 249">
          <a:extLst>
            <a:ext uri="{FF2B5EF4-FFF2-40B4-BE49-F238E27FC236}">
              <a16:creationId xmlns:a16="http://schemas.microsoft.com/office/drawing/2014/main" id="{7E2EBFDD-C50C-4AFF-BE3C-CF8BB37B5558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79" name="Text Box 249">
          <a:extLst>
            <a:ext uri="{FF2B5EF4-FFF2-40B4-BE49-F238E27FC236}">
              <a16:creationId xmlns:a16="http://schemas.microsoft.com/office/drawing/2014/main" id="{A266B568-0172-45F1-AEB9-98EDBC44C663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80" name="Text Box 249">
          <a:extLst>
            <a:ext uri="{FF2B5EF4-FFF2-40B4-BE49-F238E27FC236}">
              <a16:creationId xmlns:a16="http://schemas.microsoft.com/office/drawing/2014/main" id="{E7AE8908-439C-459D-804C-06D22DF84B6C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708</xdr:row>
      <xdr:rowOff>0</xdr:rowOff>
    </xdr:from>
    <xdr:ext cx="104775" cy="210011"/>
    <xdr:sp macro="" textlink="">
      <xdr:nvSpPr>
        <xdr:cNvPr id="381" name="Text Box 249">
          <a:extLst>
            <a:ext uri="{FF2B5EF4-FFF2-40B4-BE49-F238E27FC236}">
              <a16:creationId xmlns:a16="http://schemas.microsoft.com/office/drawing/2014/main" id="{6C775121-733C-472A-AE78-E258413C1BC6}"/>
            </a:ext>
          </a:extLst>
        </xdr:cNvPr>
        <xdr:cNvSpPr txBox="1">
          <a:spLocks noChangeArrowheads="1"/>
        </xdr:cNvSpPr>
      </xdr:nvSpPr>
      <xdr:spPr bwMode="auto">
        <a:xfrm>
          <a:off x="9563100" y="15163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709</xdr:row>
      <xdr:rowOff>0</xdr:rowOff>
    </xdr:from>
    <xdr:ext cx="117326" cy="218324"/>
    <xdr:sp macro="" textlink="">
      <xdr:nvSpPr>
        <xdr:cNvPr id="382" name="Text Box 249">
          <a:extLst>
            <a:ext uri="{FF2B5EF4-FFF2-40B4-BE49-F238E27FC236}">
              <a16:creationId xmlns:a16="http://schemas.microsoft.com/office/drawing/2014/main" id="{BB1D03C2-4B35-4908-9734-56A6792C3F57}"/>
            </a:ext>
          </a:extLst>
        </xdr:cNvPr>
        <xdr:cNvSpPr txBox="1">
          <a:spLocks noChangeArrowheads="1"/>
        </xdr:cNvSpPr>
      </xdr:nvSpPr>
      <xdr:spPr bwMode="auto">
        <a:xfrm>
          <a:off x="9563100" y="15163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3" name="Text Box 249">
          <a:extLst>
            <a:ext uri="{FF2B5EF4-FFF2-40B4-BE49-F238E27FC236}">
              <a16:creationId xmlns:a16="http://schemas.microsoft.com/office/drawing/2014/main" id="{C7E5FFAF-06C9-46D2-B347-59FB3B25886E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4" name="Text Box 249">
          <a:extLst>
            <a:ext uri="{FF2B5EF4-FFF2-40B4-BE49-F238E27FC236}">
              <a16:creationId xmlns:a16="http://schemas.microsoft.com/office/drawing/2014/main" id="{475AAA68-9432-46FE-8554-9073A15F2431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5" name="Text Box 249">
          <a:extLst>
            <a:ext uri="{FF2B5EF4-FFF2-40B4-BE49-F238E27FC236}">
              <a16:creationId xmlns:a16="http://schemas.microsoft.com/office/drawing/2014/main" id="{AEBAD4FB-EBB3-4663-90F6-3983BE4CC352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6" name="Text Box 249">
          <a:extLst>
            <a:ext uri="{FF2B5EF4-FFF2-40B4-BE49-F238E27FC236}">
              <a16:creationId xmlns:a16="http://schemas.microsoft.com/office/drawing/2014/main" id="{17F62F92-82E7-43B6-BE07-746B50F68121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7" name="Text Box 249">
          <a:extLst>
            <a:ext uri="{FF2B5EF4-FFF2-40B4-BE49-F238E27FC236}">
              <a16:creationId xmlns:a16="http://schemas.microsoft.com/office/drawing/2014/main" id="{007101B1-184A-4539-B092-3EFE8FB4DDCE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8" name="Text Box 249">
          <a:extLst>
            <a:ext uri="{FF2B5EF4-FFF2-40B4-BE49-F238E27FC236}">
              <a16:creationId xmlns:a16="http://schemas.microsoft.com/office/drawing/2014/main" id="{E56E8F77-A5A6-42E4-9764-642B59A1C489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709</xdr:row>
      <xdr:rowOff>0</xdr:rowOff>
    </xdr:from>
    <xdr:ext cx="104775" cy="210011"/>
    <xdr:sp macro="" textlink="">
      <xdr:nvSpPr>
        <xdr:cNvPr id="389" name="Text Box 249">
          <a:extLst>
            <a:ext uri="{FF2B5EF4-FFF2-40B4-BE49-F238E27FC236}">
              <a16:creationId xmlns:a16="http://schemas.microsoft.com/office/drawing/2014/main" id="{A48E202C-73AA-47CA-9847-51072D36BFE3}"/>
            </a:ext>
          </a:extLst>
        </xdr:cNvPr>
        <xdr:cNvSpPr txBox="1">
          <a:spLocks noChangeArrowheads="1"/>
        </xdr:cNvSpPr>
      </xdr:nvSpPr>
      <xdr:spPr bwMode="auto">
        <a:xfrm>
          <a:off x="9563100" y="15163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710</xdr:row>
      <xdr:rowOff>0</xdr:rowOff>
    </xdr:from>
    <xdr:ext cx="117326" cy="218324"/>
    <xdr:sp macro="" textlink="">
      <xdr:nvSpPr>
        <xdr:cNvPr id="390" name="Text Box 249">
          <a:extLst>
            <a:ext uri="{FF2B5EF4-FFF2-40B4-BE49-F238E27FC236}">
              <a16:creationId xmlns:a16="http://schemas.microsoft.com/office/drawing/2014/main" id="{BD210312-EDD8-42A7-B819-BB48E04248B4}"/>
            </a:ext>
          </a:extLst>
        </xdr:cNvPr>
        <xdr:cNvSpPr txBox="1">
          <a:spLocks noChangeArrowheads="1"/>
        </xdr:cNvSpPr>
      </xdr:nvSpPr>
      <xdr:spPr bwMode="auto">
        <a:xfrm>
          <a:off x="9563100" y="15163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91" name="Text Box 249">
          <a:extLst>
            <a:ext uri="{FF2B5EF4-FFF2-40B4-BE49-F238E27FC236}">
              <a16:creationId xmlns:a16="http://schemas.microsoft.com/office/drawing/2014/main" id="{283E4B31-9994-48B2-A793-3A1CF29B92A0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92" name="Text Box 249">
          <a:extLst>
            <a:ext uri="{FF2B5EF4-FFF2-40B4-BE49-F238E27FC236}">
              <a16:creationId xmlns:a16="http://schemas.microsoft.com/office/drawing/2014/main" id="{7FF4C2F0-211D-4F74-AB9E-A91585BD0542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93" name="Text Box 249">
          <a:extLst>
            <a:ext uri="{FF2B5EF4-FFF2-40B4-BE49-F238E27FC236}">
              <a16:creationId xmlns:a16="http://schemas.microsoft.com/office/drawing/2014/main" id="{5DA45D47-079C-4EE9-843A-09A688D81AD1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94" name="Text Box 249">
          <a:extLst>
            <a:ext uri="{FF2B5EF4-FFF2-40B4-BE49-F238E27FC236}">
              <a16:creationId xmlns:a16="http://schemas.microsoft.com/office/drawing/2014/main" id="{8E4B54FA-57EE-4854-A4EA-3779DC721AD8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95" name="Text Box 249">
          <a:extLst>
            <a:ext uri="{FF2B5EF4-FFF2-40B4-BE49-F238E27FC236}">
              <a16:creationId xmlns:a16="http://schemas.microsoft.com/office/drawing/2014/main" id="{D13A16DF-B3A3-4927-ABA5-91AB6A2FF030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96" name="Text Box 249">
          <a:extLst>
            <a:ext uri="{FF2B5EF4-FFF2-40B4-BE49-F238E27FC236}">
              <a16:creationId xmlns:a16="http://schemas.microsoft.com/office/drawing/2014/main" id="{04A1C57F-A744-4262-BDB6-54545B318974}"/>
            </a:ext>
          </a:extLst>
        </xdr:cNvPr>
        <xdr:cNvSpPr txBox="1">
          <a:spLocks noChangeArrowheads="1"/>
        </xdr:cNvSpPr>
      </xdr:nvSpPr>
      <xdr:spPr bwMode="auto">
        <a:xfrm>
          <a:off x="9560560" y="15163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710</xdr:row>
      <xdr:rowOff>0</xdr:rowOff>
    </xdr:from>
    <xdr:ext cx="104775" cy="210011"/>
    <xdr:sp macro="" textlink="">
      <xdr:nvSpPr>
        <xdr:cNvPr id="397" name="Text Box 249">
          <a:extLst>
            <a:ext uri="{FF2B5EF4-FFF2-40B4-BE49-F238E27FC236}">
              <a16:creationId xmlns:a16="http://schemas.microsoft.com/office/drawing/2014/main" id="{E56D0E8D-9E71-4851-B207-DFCDE6680044}"/>
            </a:ext>
          </a:extLst>
        </xdr:cNvPr>
        <xdr:cNvSpPr txBox="1">
          <a:spLocks noChangeArrowheads="1"/>
        </xdr:cNvSpPr>
      </xdr:nvSpPr>
      <xdr:spPr bwMode="auto">
        <a:xfrm>
          <a:off x="9563100" y="15163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651</xdr:row>
      <xdr:rowOff>0</xdr:rowOff>
    </xdr:from>
    <xdr:ext cx="117326" cy="218324"/>
    <xdr:sp macro="" textlink="">
      <xdr:nvSpPr>
        <xdr:cNvPr id="125" name="Text Box 249">
          <a:extLst>
            <a:ext uri="{FF2B5EF4-FFF2-40B4-BE49-F238E27FC236}">
              <a16:creationId xmlns:a16="http://schemas.microsoft.com/office/drawing/2014/main" id="{2E383A98-3ECD-45AD-80EB-F8FB8735D5B2}"/>
            </a:ext>
          </a:extLst>
        </xdr:cNvPr>
        <xdr:cNvSpPr txBox="1">
          <a:spLocks noChangeArrowheads="1"/>
        </xdr:cNvSpPr>
      </xdr:nvSpPr>
      <xdr:spPr bwMode="auto">
        <a:xfrm>
          <a:off x="9563100" y="937175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398" name="Text Box 249">
          <a:extLst>
            <a:ext uri="{FF2B5EF4-FFF2-40B4-BE49-F238E27FC236}">
              <a16:creationId xmlns:a16="http://schemas.microsoft.com/office/drawing/2014/main" id="{839DB674-0DB5-4AC2-966B-C2EDF009C588}"/>
            </a:ext>
          </a:extLst>
        </xdr:cNvPr>
        <xdr:cNvSpPr txBox="1">
          <a:spLocks noChangeArrowheads="1"/>
        </xdr:cNvSpPr>
      </xdr:nvSpPr>
      <xdr:spPr bwMode="auto">
        <a:xfrm>
          <a:off x="9560560" y="93717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399" name="Text Box 249">
          <a:extLst>
            <a:ext uri="{FF2B5EF4-FFF2-40B4-BE49-F238E27FC236}">
              <a16:creationId xmlns:a16="http://schemas.microsoft.com/office/drawing/2014/main" id="{D30C2D78-76E7-475E-B7A7-948373DEB907}"/>
            </a:ext>
          </a:extLst>
        </xdr:cNvPr>
        <xdr:cNvSpPr txBox="1">
          <a:spLocks noChangeArrowheads="1"/>
        </xdr:cNvSpPr>
      </xdr:nvSpPr>
      <xdr:spPr bwMode="auto">
        <a:xfrm>
          <a:off x="9560560" y="93717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400" name="Text Box 249">
          <a:extLst>
            <a:ext uri="{FF2B5EF4-FFF2-40B4-BE49-F238E27FC236}">
              <a16:creationId xmlns:a16="http://schemas.microsoft.com/office/drawing/2014/main" id="{95D6DCBD-4D68-485D-92D6-1C10A84AFACE}"/>
            </a:ext>
          </a:extLst>
        </xdr:cNvPr>
        <xdr:cNvSpPr txBox="1">
          <a:spLocks noChangeArrowheads="1"/>
        </xdr:cNvSpPr>
      </xdr:nvSpPr>
      <xdr:spPr bwMode="auto">
        <a:xfrm>
          <a:off x="9560560" y="93717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401" name="Text Box 249">
          <a:extLst>
            <a:ext uri="{FF2B5EF4-FFF2-40B4-BE49-F238E27FC236}">
              <a16:creationId xmlns:a16="http://schemas.microsoft.com/office/drawing/2014/main" id="{F6DD00F5-C809-4C92-B329-9C54E4E00CF1}"/>
            </a:ext>
          </a:extLst>
        </xdr:cNvPr>
        <xdr:cNvSpPr txBox="1">
          <a:spLocks noChangeArrowheads="1"/>
        </xdr:cNvSpPr>
      </xdr:nvSpPr>
      <xdr:spPr bwMode="auto">
        <a:xfrm>
          <a:off x="9560560" y="93717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402" name="Text Box 249">
          <a:extLst>
            <a:ext uri="{FF2B5EF4-FFF2-40B4-BE49-F238E27FC236}">
              <a16:creationId xmlns:a16="http://schemas.microsoft.com/office/drawing/2014/main" id="{4D59D45A-0EAD-4843-ABFC-AB2300245CBB}"/>
            </a:ext>
          </a:extLst>
        </xdr:cNvPr>
        <xdr:cNvSpPr txBox="1">
          <a:spLocks noChangeArrowheads="1"/>
        </xdr:cNvSpPr>
      </xdr:nvSpPr>
      <xdr:spPr bwMode="auto">
        <a:xfrm>
          <a:off x="9560560" y="93717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403" name="Text Box 249">
          <a:extLst>
            <a:ext uri="{FF2B5EF4-FFF2-40B4-BE49-F238E27FC236}">
              <a16:creationId xmlns:a16="http://schemas.microsoft.com/office/drawing/2014/main" id="{DEBC584A-7F38-4A09-BED4-6969FCA25D81}"/>
            </a:ext>
          </a:extLst>
        </xdr:cNvPr>
        <xdr:cNvSpPr txBox="1">
          <a:spLocks noChangeArrowheads="1"/>
        </xdr:cNvSpPr>
      </xdr:nvSpPr>
      <xdr:spPr bwMode="auto">
        <a:xfrm>
          <a:off x="9560560" y="93717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651</xdr:row>
      <xdr:rowOff>0</xdr:rowOff>
    </xdr:from>
    <xdr:ext cx="104775" cy="210011"/>
    <xdr:sp macro="" textlink="">
      <xdr:nvSpPr>
        <xdr:cNvPr id="404" name="Text Box 249">
          <a:extLst>
            <a:ext uri="{FF2B5EF4-FFF2-40B4-BE49-F238E27FC236}">
              <a16:creationId xmlns:a16="http://schemas.microsoft.com/office/drawing/2014/main" id="{601ED9CA-7125-4865-B4DF-0F3CF3E8FB23}"/>
            </a:ext>
          </a:extLst>
        </xdr:cNvPr>
        <xdr:cNvSpPr txBox="1">
          <a:spLocks noChangeArrowheads="1"/>
        </xdr:cNvSpPr>
      </xdr:nvSpPr>
      <xdr:spPr bwMode="auto">
        <a:xfrm>
          <a:off x="9563100" y="937175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653</xdr:row>
      <xdr:rowOff>0</xdr:rowOff>
    </xdr:from>
    <xdr:ext cx="117326" cy="218324"/>
    <xdr:sp macro="" textlink="">
      <xdr:nvSpPr>
        <xdr:cNvPr id="405" name="Text Box 249">
          <a:extLst>
            <a:ext uri="{FF2B5EF4-FFF2-40B4-BE49-F238E27FC236}">
              <a16:creationId xmlns:a16="http://schemas.microsoft.com/office/drawing/2014/main" id="{28789904-4CD8-4B83-B541-AC179D98971D}"/>
            </a:ext>
          </a:extLst>
        </xdr:cNvPr>
        <xdr:cNvSpPr txBox="1">
          <a:spLocks noChangeArrowheads="1"/>
        </xdr:cNvSpPr>
      </xdr:nvSpPr>
      <xdr:spPr bwMode="auto">
        <a:xfrm>
          <a:off x="9563100" y="94056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06" name="Text Box 249">
          <a:extLst>
            <a:ext uri="{FF2B5EF4-FFF2-40B4-BE49-F238E27FC236}">
              <a16:creationId xmlns:a16="http://schemas.microsoft.com/office/drawing/2014/main" id="{05AB2138-D716-4D8C-B800-86F67EB63DCD}"/>
            </a:ext>
          </a:extLst>
        </xdr:cNvPr>
        <xdr:cNvSpPr txBox="1">
          <a:spLocks noChangeArrowheads="1"/>
        </xdr:cNvSpPr>
      </xdr:nvSpPr>
      <xdr:spPr bwMode="auto">
        <a:xfrm>
          <a:off x="9560560" y="94056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07" name="Text Box 249">
          <a:extLst>
            <a:ext uri="{FF2B5EF4-FFF2-40B4-BE49-F238E27FC236}">
              <a16:creationId xmlns:a16="http://schemas.microsoft.com/office/drawing/2014/main" id="{C8F58F58-C8E3-40D4-8F45-31D422BEFD02}"/>
            </a:ext>
          </a:extLst>
        </xdr:cNvPr>
        <xdr:cNvSpPr txBox="1">
          <a:spLocks noChangeArrowheads="1"/>
        </xdr:cNvSpPr>
      </xdr:nvSpPr>
      <xdr:spPr bwMode="auto">
        <a:xfrm>
          <a:off x="9560560" y="94056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08" name="Text Box 249">
          <a:extLst>
            <a:ext uri="{FF2B5EF4-FFF2-40B4-BE49-F238E27FC236}">
              <a16:creationId xmlns:a16="http://schemas.microsoft.com/office/drawing/2014/main" id="{D3C9B388-2C5E-46E6-A60F-1F23E914F12C}"/>
            </a:ext>
          </a:extLst>
        </xdr:cNvPr>
        <xdr:cNvSpPr txBox="1">
          <a:spLocks noChangeArrowheads="1"/>
        </xdr:cNvSpPr>
      </xdr:nvSpPr>
      <xdr:spPr bwMode="auto">
        <a:xfrm>
          <a:off x="9560560" y="94056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09" name="Text Box 249">
          <a:extLst>
            <a:ext uri="{FF2B5EF4-FFF2-40B4-BE49-F238E27FC236}">
              <a16:creationId xmlns:a16="http://schemas.microsoft.com/office/drawing/2014/main" id="{D9F4E337-52AE-4ED0-876C-69F1610C927F}"/>
            </a:ext>
          </a:extLst>
        </xdr:cNvPr>
        <xdr:cNvSpPr txBox="1">
          <a:spLocks noChangeArrowheads="1"/>
        </xdr:cNvSpPr>
      </xdr:nvSpPr>
      <xdr:spPr bwMode="auto">
        <a:xfrm>
          <a:off x="9560560" y="94056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0" name="Text Box 249">
          <a:extLst>
            <a:ext uri="{FF2B5EF4-FFF2-40B4-BE49-F238E27FC236}">
              <a16:creationId xmlns:a16="http://schemas.microsoft.com/office/drawing/2014/main" id="{48A12EC2-BEE9-4E29-AF62-F850BD6F507C}"/>
            </a:ext>
          </a:extLst>
        </xdr:cNvPr>
        <xdr:cNvSpPr txBox="1">
          <a:spLocks noChangeArrowheads="1"/>
        </xdr:cNvSpPr>
      </xdr:nvSpPr>
      <xdr:spPr bwMode="auto">
        <a:xfrm>
          <a:off x="9560560" y="94056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1" name="Text Box 249">
          <a:extLst>
            <a:ext uri="{FF2B5EF4-FFF2-40B4-BE49-F238E27FC236}">
              <a16:creationId xmlns:a16="http://schemas.microsoft.com/office/drawing/2014/main" id="{6F9BE48D-4D6A-41E9-9D4F-67D681F5D735}"/>
            </a:ext>
          </a:extLst>
        </xdr:cNvPr>
        <xdr:cNvSpPr txBox="1">
          <a:spLocks noChangeArrowheads="1"/>
        </xdr:cNvSpPr>
      </xdr:nvSpPr>
      <xdr:spPr bwMode="auto">
        <a:xfrm>
          <a:off x="9560560" y="94056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653</xdr:row>
      <xdr:rowOff>0</xdr:rowOff>
    </xdr:from>
    <xdr:ext cx="104775" cy="210011"/>
    <xdr:sp macro="" textlink="">
      <xdr:nvSpPr>
        <xdr:cNvPr id="412" name="Text Box 249">
          <a:extLst>
            <a:ext uri="{FF2B5EF4-FFF2-40B4-BE49-F238E27FC236}">
              <a16:creationId xmlns:a16="http://schemas.microsoft.com/office/drawing/2014/main" id="{077A0A50-974D-4EF9-A296-5AA6A8EB39CE}"/>
            </a:ext>
          </a:extLst>
        </xdr:cNvPr>
        <xdr:cNvSpPr txBox="1">
          <a:spLocks noChangeArrowheads="1"/>
        </xdr:cNvSpPr>
      </xdr:nvSpPr>
      <xdr:spPr bwMode="auto">
        <a:xfrm>
          <a:off x="9563100" y="94056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653</xdr:row>
      <xdr:rowOff>0</xdr:rowOff>
    </xdr:from>
    <xdr:ext cx="117326" cy="218324"/>
    <xdr:sp macro="" textlink="">
      <xdr:nvSpPr>
        <xdr:cNvPr id="413" name="Text Box 249">
          <a:extLst>
            <a:ext uri="{FF2B5EF4-FFF2-40B4-BE49-F238E27FC236}">
              <a16:creationId xmlns:a16="http://schemas.microsoft.com/office/drawing/2014/main" id="{9DE47946-63D4-4FBF-A407-11370A5185E7}"/>
            </a:ext>
          </a:extLst>
        </xdr:cNvPr>
        <xdr:cNvSpPr txBox="1">
          <a:spLocks noChangeArrowheads="1"/>
        </xdr:cNvSpPr>
      </xdr:nvSpPr>
      <xdr:spPr bwMode="auto">
        <a:xfrm>
          <a:off x="9563100" y="94564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4" name="Text Box 249">
          <a:extLst>
            <a:ext uri="{FF2B5EF4-FFF2-40B4-BE49-F238E27FC236}">
              <a16:creationId xmlns:a16="http://schemas.microsoft.com/office/drawing/2014/main" id="{F0DC1C11-2C25-49FF-9268-EFACB6E7AE44}"/>
            </a:ext>
          </a:extLst>
        </xdr:cNvPr>
        <xdr:cNvSpPr txBox="1">
          <a:spLocks noChangeArrowheads="1"/>
        </xdr:cNvSpPr>
      </xdr:nvSpPr>
      <xdr:spPr bwMode="auto">
        <a:xfrm>
          <a:off x="9560560" y="9456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5" name="Text Box 249">
          <a:extLst>
            <a:ext uri="{FF2B5EF4-FFF2-40B4-BE49-F238E27FC236}">
              <a16:creationId xmlns:a16="http://schemas.microsoft.com/office/drawing/2014/main" id="{576305FE-8F35-4872-9876-C4252C30B3A2}"/>
            </a:ext>
          </a:extLst>
        </xdr:cNvPr>
        <xdr:cNvSpPr txBox="1">
          <a:spLocks noChangeArrowheads="1"/>
        </xdr:cNvSpPr>
      </xdr:nvSpPr>
      <xdr:spPr bwMode="auto">
        <a:xfrm>
          <a:off x="9560560" y="9456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6" name="Text Box 249">
          <a:extLst>
            <a:ext uri="{FF2B5EF4-FFF2-40B4-BE49-F238E27FC236}">
              <a16:creationId xmlns:a16="http://schemas.microsoft.com/office/drawing/2014/main" id="{8AD5DA47-816D-497D-8581-5A2144524D61}"/>
            </a:ext>
          </a:extLst>
        </xdr:cNvPr>
        <xdr:cNvSpPr txBox="1">
          <a:spLocks noChangeArrowheads="1"/>
        </xdr:cNvSpPr>
      </xdr:nvSpPr>
      <xdr:spPr bwMode="auto">
        <a:xfrm>
          <a:off x="9560560" y="9456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7" name="Text Box 249">
          <a:extLst>
            <a:ext uri="{FF2B5EF4-FFF2-40B4-BE49-F238E27FC236}">
              <a16:creationId xmlns:a16="http://schemas.microsoft.com/office/drawing/2014/main" id="{8B485B62-8D0D-4229-B3F6-63BA909F34D0}"/>
            </a:ext>
          </a:extLst>
        </xdr:cNvPr>
        <xdr:cNvSpPr txBox="1">
          <a:spLocks noChangeArrowheads="1"/>
        </xdr:cNvSpPr>
      </xdr:nvSpPr>
      <xdr:spPr bwMode="auto">
        <a:xfrm>
          <a:off x="9560560" y="9456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8" name="Text Box 249">
          <a:extLst>
            <a:ext uri="{FF2B5EF4-FFF2-40B4-BE49-F238E27FC236}">
              <a16:creationId xmlns:a16="http://schemas.microsoft.com/office/drawing/2014/main" id="{50B05133-2988-4F51-9BF0-5D97FEF08047}"/>
            </a:ext>
          </a:extLst>
        </xdr:cNvPr>
        <xdr:cNvSpPr txBox="1">
          <a:spLocks noChangeArrowheads="1"/>
        </xdr:cNvSpPr>
      </xdr:nvSpPr>
      <xdr:spPr bwMode="auto">
        <a:xfrm>
          <a:off x="9560560" y="9456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9" name="Text Box 249">
          <a:extLst>
            <a:ext uri="{FF2B5EF4-FFF2-40B4-BE49-F238E27FC236}">
              <a16:creationId xmlns:a16="http://schemas.microsoft.com/office/drawing/2014/main" id="{24C864C6-BC28-4435-A7E0-1BFFED10F209}"/>
            </a:ext>
          </a:extLst>
        </xdr:cNvPr>
        <xdr:cNvSpPr txBox="1">
          <a:spLocks noChangeArrowheads="1"/>
        </xdr:cNvSpPr>
      </xdr:nvSpPr>
      <xdr:spPr bwMode="auto">
        <a:xfrm>
          <a:off x="9560560" y="9456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653</xdr:row>
      <xdr:rowOff>0</xdr:rowOff>
    </xdr:from>
    <xdr:ext cx="104775" cy="210011"/>
    <xdr:sp macro="" textlink="">
      <xdr:nvSpPr>
        <xdr:cNvPr id="420" name="Text Box 249">
          <a:extLst>
            <a:ext uri="{FF2B5EF4-FFF2-40B4-BE49-F238E27FC236}">
              <a16:creationId xmlns:a16="http://schemas.microsoft.com/office/drawing/2014/main" id="{113DA15F-6532-4D73-852D-950BE56762C8}"/>
            </a:ext>
          </a:extLst>
        </xdr:cNvPr>
        <xdr:cNvSpPr txBox="1">
          <a:spLocks noChangeArrowheads="1"/>
        </xdr:cNvSpPr>
      </xdr:nvSpPr>
      <xdr:spPr bwMode="auto">
        <a:xfrm>
          <a:off x="9563100" y="94564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655</xdr:row>
      <xdr:rowOff>0</xdr:rowOff>
    </xdr:from>
    <xdr:ext cx="117326" cy="218324"/>
    <xdr:sp macro="" textlink="">
      <xdr:nvSpPr>
        <xdr:cNvPr id="421" name="Text Box 249">
          <a:extLst>
            <a:ext uri="{FF2B5EF4-FFF2-40B4-BE49-F238E27FC236}">
              <a16:creationId xmlns:a16="http://schemas.microsoft.com/office/drawing/2014/main" id="{8FF852F2-9D30-433B-909B-EB01FEAF410B}"/>
            </a:ext>
          </a:extLst>
        </xdr:cNvPr>
        <xdr:cNvSpPr txBox="1">
          <a:spLocks noChangeArrowheads="1"/>
        </xdr:cNvSpPr>
      </xdr:nvSpPr>
      <xdr:spPr bwMode="auto">
        <a:xfrm>
          <a:off x="9563100" y="949028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2" name="Text Box 249">
          <a:extLst>
            <a:ext uri="{FF2B5EF4-FFF2-40B4-BE49-F238E27FC236}">
              <a16:creationId xmlns:a16="http://schemas.microsoft.com/office/drawing/2014/main" id="{6F84CCB9-8113-4C14-A090-47ED640DDEA7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3" name="Text Box 249">
          <a:extLst>
            <a:ext uri="{FF2B5EF4-FFF2-40B4-BE49-F238E27FC236}">
              <a16:creationId xmlns:a16="http://schemas.microsoft.com/office/drawing/2014/main" id="{E2C935E4-72D3-48AF-8C72-CBF2C52CFA05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4" name="Text Box 249">
          <a:extLst>
            <a:ext uri="{FF2B5EF4-FFF2-40B4-BE49-F238E27FC236}">
              <a16:creationId xmlns:a16="http://schemas.microsoft.com/office/drawing/2014/main" id="{6C8A0761-B23C-45AD-A26C-857B23D683A3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5" name="Text Box 249">
          <a:extLst>
            <a:ext uri="{FF2B5EF4-FFF2-40B4-BE49-F238E27FC236}">
              <a16:creationId xmlns:a16="http://schemas.microsoft.com/office/drawing/2014/main" id="{67D46ED4-E764-444E-95D9-5461124B3BE8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6" name="Text Box 249">
          <a:extLst>
            <a:ext uri="{FF2B5EF4-FFF2-40B4-BE49-F238E27FC236}">
              <a16:creationId xmlns:a16="http://schemas.microsoft.com/office/drawing/2014/main" id="{591FFD1D-C41A-4234-8E19-944D884D2BA1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7" name="Text Box 249">
          <a:extLst>
            <a:ext uri="{FF2B5EF4-FFF2-40B4-BE49-F238E27FC236}">
              <a16:creationId xmlns:a16="http://schemas.microsoft.com/office/drawing/2014/main" id="{64B6B9DE-3A62-4B0F-8900-84890CD196B4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655</xdr:row>
      <xdr:rowOff>0</xdr:rowOff>
    </xdr:from>
    <xdr:ext cx="104775" cy="210011"/>
    <xdr:sp macro="" textlink="">
      <xdr:nvSpPr>
        <xdr:cNvPr id="428" name="Text Box 249">
          <a:extLst>
            <a:ext uri="{FF2B5EF4-FFF2-40B4-BE49-F238E27FC236}">
              <a16:creationId xmlns:a16="http://schemas.microsoft.com/office/drawing/2014/main" id="{4B1E1E62-BA89-4553-836A-7D5464A721B7}"/>
            </a:ext>
          </a:extLst>
        </xdr:cNvPr>
        <xdr:cNvSpPr txBox="1">
          <a:spLocks noChangeArrowheads="1"/>
        </xdr:cNvSpPr>
      </xdr:nvSpPr>
      <xdr:spPr bwMode="auto">
        <a:xfrm>
          <a:off x="9563100" y="949028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17326" cy="218324"/>
    <xdr:sp macro="" textlink="">
      <xdr:nvSpPr>
        <xdr:cNvPr id="429" name="Text Box 249">
          <a:extLst>
            <a:ext uri="{FF2B5EF4-FFF2-40B4-BE49-F238E27FC236}">
              <a16:creationId xmlns:a16="http://schemas.microsoft.com/office/drawing/2014/main" id="{2BC2626F-F29D-42D4-AE6D-3E5629A2F7BB}"/>
            </a:ext>
          </a:extLst>
        </xdr:cNvPr>
        <xdr:cNvSpPr txBox="1">
          <a:spLocks noChangeArrowheads="1"/>
        </xdr:cNvSpPr>
      </xdr:nvSpPr>
      <xdr:spPr bwMode="auto">
        <a:xfrm>
          <a:off x="9563100" y="95072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30" name="Text Box 249">
          <a:extLst>
            <a:ext uri="{FF2B5EF4-FFF2-40B4-BE49-F238E27FC236}">
              <a16:creationId xmlns:a16="http://schemas.microsoft.com/office/drawing/2014/main" id="{598D3BC2-F498-47E2-82E8-0977EBA74791}"/>
            </a:ext>
          </a:extLst>
        </xdr:cNvPr>
        <xdr:cNvSpPr txBox="1">
          <a:spLocks noChangeArrowheads="1"/>
        </xdr:cNvSpPr>
      </xdr:nvSpPr>
      <xdr:spPr bwMode="auto">
        <a:xfrm>
          <a:off x="9560560" y="95072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31" name="Text Box 249">
          <a:extLst>
            <a:ext uri="{FF2B5EF4-FFF2-40B4-BE49-F238E27FC236}">
              <a16:creationId xmlns:a16="http://schemas.microsoft.com/office/drawing/2014/main" id="{62E22355-EA3F-4412-9A38-DDDE37BD7268}"/>
            </a:ext>
          </a:extLst>
        </xdr:cNvPr>
        <xdr:cNvSpPr txBox="1">
          <a:spLocks noChangeArrowheads="1"/>
        </xdr:cNvSpPr>
      </xdr:nvSpPr>
      <xdr:spPr bwMode="auto">
        <a:xfrm>
          <a:off x="9560560" y="95072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32" name="Text Box 249">
          <a:extLst>
            <a:ext uri="{FF2B5EF4-FFF2-40B4-BE49-F238E27FC236}">
              <a16:creationId xmlns:a16="http://schemas.microsoft.com/office/drawing/2014/main" id="{C7E31D3B-72F3-40B6-9D1C-104F26204E19}"/>
            </a:ext>
          </a:extLst>
        </xdr:cNvPr>
        <xdr:cNvSpPr txBox="1">
          <a:spLocks noChangeArrowheads="1"/>
        </xdr:cNvSpPr>
      </xdr:nvSpPr>
      <xdr:spPr bwMode="auto">
        <a:xfrm>
          <a:off x="9560560" y="95072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33" name="Text Box 249">
          <a:extLst>
            <a:ext uri="{FF2B5EF4-FFF2-40B4-BE49-F238E27FC236}">
              <a16:creationId xmlns:a16="http://schemas.microsoft.com/office/drawing/2014/main" id="{CBECA211-EE84-4BD2-B854-FB6C06505CEE}"/>
            </a:ext>
          </a:extLst>
        </xdr:cNvPr>
        <xdr:cNvSpPr txBox="1">
          <a:spLocks noChangeArrowheads="1"/>
        </xdr:cNvSpPr>
      </xdr:nvSpPr>
      <xdr:spPr bwMode="auto">
        <a:xfrm>
          <a:off x="9560560" y="95072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34" name="Text Box 249">
          <a:extLst>
            <a:ext uri="{FF2B5EF4-FFF2-40B4-BE49-F238E27FC236}">
              <a16:creationId xmlns:a16="http://schemas.microsoft.com/office/drawing/2014/main" id="{C1380A39-91B8-417A-A88A-429E3D8F6470}"/>
            </a:ext>
          </a:extLst>
        </xdr:cNvPr>
        <xdr:cNvSpPr txBox="1">
          <a:spLocks noChangeArrowheads="1"/>
        </xdr:cNvSpPr>
      </xdr:nvSpPr>
      <xdr:spPr bwMode="auto">
        <a:xfrm>
          <a:off x="9560560" y="95072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35" name="Text Box 249">
          <a:extLst>
            <a:ext uri="{FF2B5EF4-FFF2-40B4-BE49-F238E27FC236}">
              <a16:creationId xmlns:a16="http://schemas.microsoft.com/office/drawing/2014/main" id="{7BC79919-08B0-4E57-93BC-C73E5EEF9817}"/>
            </a:ext>
          </a:extLst>
        </xdr:cNvPr>
        <xdr:cNvSpPr txBox="1">
          <a:spLocks noChangeArrowheads="1"/>
        </xdr:cNvSpPr>
      </xdr:nvSpPr>
      <xdr:spPr bwMode="auto">
        <a:xfrm>
          <a:off x="9560560" y="95072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04775" cy="210011"/>
    <xdr:sp macro="" textlink="">
      <xdr:nvSpPr>
        <xdr:cNvPr id="436" name="Text Box 249">
          <a:extLst>
            <a:ext uri="{FF2B5EF4-FFF2-40B4-BE49-F238E27FC236}">
              <a16:creationId xmlns:a16="http://schemas.microsoft.com/office/drawing/2014/main" id="{D60A972F-AF0B-4048-8803-F323D0DA637D}"/>
            </a:ext>
          </a:extLst>
        </xdr:cNvPr>
        <xdr:cNvSpPr txBox="1">
          <a:spLocks noChangeArrowheads="1"/>
        </xdr:cNvSpPr>
      </xdr:nvSpPr>
      <xdr:spPr bwMode="auto">
        <a:xfrm>
          <a:off x="9563100" y="95072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655</xdr:row>
      <xdr:rowOff>0</xdr:rowOff>
    </xdr:from>
    <xdr:ext cx="117326" cy="218324"/>
    <xdr:sp macro="" textlink="">
      <xdr:nvSpPr>
        <xdr:cNvPr id="437" name="Text Box 249">
          <a:extLst>
            <a:ext uri="{FF2B5EF4-FFF2-40B4-BE49-F238E27FC236}">
              <a16:creationId xmlns:a16="http://schemas.microsoft.com/office/drawing/2014/main" id="{3542B1DD-8C2D-4321-8C99-1CE197C4F543}"/>
            </a:ext>
          </a:extLst>
        </xdr:cNvPr>
        <xdr:cNvSpPr txBox="1">
          <a:spLocks noChangeArrowheads="1"/>
        </xdr:cNvSpPr>
      </xdr:nvSpPr>
      <xdr:spPr bwMode="auto">
        <a:xfrm>
          <a:off x="9563100" y="949028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38" name="Text Box 249">
          <a:extLst>
            <a:ext uri="{FF2B5EF4-FFF2-40B4-BE49-F238E27FC236}">
              <a16:creationId xmlns:a16="http://schemas.microsoft.com/office/drawing/2014/main" id="{CF88E198-F912-4E16-A341-BACDD62D72B1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39" name="Text Box 249">
          <a:extLst>
            <a:ext uri="{FF2B5EF4-FFF2-40B4-BE49-F238E27FC236}">
              <a16:creationId xmlns:a16="http://schemas.microsoft.com/office/drawing/2014/main" id="{87D4E027-AAF8-4B3B-A73C-FFF4E40DE40F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40" name="Text Box 249">
          <a:extLst>
            <a:ext uri="{FF2B5EF4-FFF2-40B4-BE49-F238E27FC236}">
              <a16:creationId xmlns:a16="http://schemas.microsoft.com/office/drawing/2014/main" id="{8BE1F415-433A-4B49-B64A-C69B4977A93B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41" name="Text Box 249">
          <a:extLst>
            <a:ext uri="{FF2B5EF4-FFF2-40B4-BE49-F238E27FC236}">
              <a16:creationId xmlns:a16="http://schemas.microsoft.com/office/drawing/2014/main" id="{15FC72ED-4D5E-46EC-9B53-F61AA6410D02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42" name="Text Box 249">
          <a:extLst>
            <a:ext uri="{FF2B5EF4-FFF2-40B4-BE49-F238E27FC236}">
              <a16:creationId xmlns:a16="http://schemas.microsoft.com/office/drawing/2014/main" id="{F6B36D61-AB02-4F5A-9B39-5BEA2F4FA563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43" name="Text Box 249">
          <a:extLst>
            <a:ext uri="{FF2B5EF4-FFF2-40B4-BE49-F238E27FC236}">
              <a16:creationId xmlns:a16="http://schemas.microsoft.com/office/drawing/2014/main" id="{7256DB22-8F2A-4C4A-8457-74F7C2C3C48E}"/>
            </a:ext>
          </a:extLst>
        </xdr:cNvPr>
        <xdr:cNvSpPr txBox="1">
          <a:spLocks noChangeArrowheads="1"/>
        </xdr:cNvSpPr>
      </xdr:nvSpPr>
      <xdr:spPr bwMode="auto">
        <a:xfrm>
          <a:off x="9560560" y="94902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655</xdr:row>
      <xdr:rowOff>0</xdr:rowOff>
    </xdr:from>
    <xdr:ext cx="104775" cy="210011"/>
    <xdr:sp macro="" textlink="">
      <xdr:nvSpPr>
        <xdr:cNvPr id="444" name="Text Box 249">
          <a:extLst>
            <a:ext uri="{FF2B5EF4-FFF2-40B4-BE49-F238E27FC236}">
              <a16:creationId xmlns:a16="http://schemas.microsoft.com/office/drawing/2014/main" id="{50B7543B-823C-48D2-929E-D3719816A6B5}"/>
            </a:ext>
          </a:extLst>
        </xdr:cNvPr>
        <xdr:cNvSpPr txBox="1">
          <a:spLocks noChangeArrowheads="1"/>
        </xdr:cNvSpPr>
      </xdr:nvSpPr>
      <xdr:spPr bwMode="auto">
        <a:xfrm>
          <a:off x="9563100" y="949028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45" name="Text Box 249">
          <a:extLst>
            <a:ext uri="{FF2B5EF4-FFF2-40B4-BE49-F238E27FC236}">
              <a16:creationId xmlns:a16="http://schemas.microsoft.com/office/drawing/2014/main" id="{03E1AC15-65FA-4002-8B5C-E612F8DD5F6E}"/>
            </a:ext>
          </a:extLst>
        </xdr:cNvPr>
        <xdr:cNvSpPr txBox="1">
          <a:spLocks noChangeArrowheads="1"/>
        </xdr:cNvSpPr>
      </xdr:nvSpPr>
      <xdr:spPr bwMode="auto">
        <a:xfrm>
          <a:off x="9563100" y="954108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46" name="Text Box 249">
          <a:extLst>
            <a:ext uri="{FF2B5EF4-FFF2-40B4-BE49-F238E27FC236}">
              <a16:creationId xmlns:a16="http://schemas.microsoft.com/office/drawing/2014/main" id="{4F88A8F6-AC1D-413E-8C4D-8DB822202AB2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47" name="Text Box 249">
          <a:extLst>
            <a:ext uri="{FF2B5EF4-FFF2-40B4-BE49-F238E27FC236}">
              <a16:creationId xmlns:a16="http://schemas.microsoft.com/office/drawing/2014/main" id="{0F497D7C-5A3A-45A9-B4E5-EF11DA0DAE93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48" name="Text Box 249">
          <a:extLst>
            <a:ext uri="{FF2B5EF4-FFF2-40B4-BE49-F238E27FC236}">
              <a16:creationId xmlns:a16="http://schemas.microsoft.com/office/drawing/2014/main" id="{FD50182B-3334-44B2-A3CD-A8D9B6F0B958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49" name="Text Box 249">
          <a:extLst>
            <a:ext uri="{FF2B5EF4-FFF2-40B4-BE49-F238E27FC236}">
              <a16:creationId xmlns:a16="http://schemas.microsoft.com/office/drawing/2014/main" id="{78781186-5691-4124-AFD7-060C4E63804E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0" name="Text Box 249">
          <a:extLst>
            <a:ext uri="{FF2B5EF4-FFF2-40B4-BE49-F238E27FC236}">
              <a16:creationId xmlns:a16="http://schemas.microsoft.com/office/drawing/2014/main" id="{A154F8C5-7152-4466-8BA1-E7FD06B2FF05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1" name="Text Box 249">
          <a:extLst>
            <a:ext uri="{FF2B5EF4-FFF2-40B4-BE49-F238E27FC236}">
              <a16:creationId xmlns:a16="http://schemas.microsoft.com/office/drawing/2014/main" id="{4080D8C0-69B2-4243-AFD0-17B8E0C2472F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52" name="Text Box 249">
          <a:extLst>
            <a:ext uri="{FF2B5EF4-FFF2-40B4-BE49-F238E27FC236}">
              <a16:creationId xmlns:a16="http://schemas.microsoft.com/office/drawing/2014/main" id="{199572B0-E910-4F82-A04E-F61B291B0068}"/>
            </a:ext>
          </a:extLst>
        </xdr:cNvPr>
        <xdr:cNvSpPr txBox="1">
          <a:spLocks noChangeArrowheads="1"/>
        </xdr:cNvSpPr>
      </xdr:nvSpPr>
      <xdr:spPr bwMode="auto">
        <a:xfrm>
          <a:off x="9563100" y="954108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53" name="Text Box 249">
          <a:extLst>
            <a:ext uri="{FF2B5EF4-FFF2-40B4-BE49-F238E27FC236}">
              <a16:creationId xmlns:a16="http://schemas.microsoft.com/office/drawing/2014/main" id="{300EB417-FE7D-4AFE-8456-81B2EE7FBDCA}"/>
            </a:ext>
          </a:extLst>
        </xdr:cNvPr>
        <xdr:cNvSpPr txBox="1">
          <a:spLocks noChangeArrowheads="1"/>
        </xdr:cNvSpPr>
      </xdr:nvSpPr>
      <xdr:spPr bwMode="auto">
        <a:xfrm>
          <a:off x="9563100" y="954108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4" name="Text Box 249">
          <a:extLst>
            <a:ext uri="{FF2B5EF4-FFF2-40B4-BE49-F238E27FC236}">
              <a16:creationId xmlns:a16="http://schemas.microsoft.com/office/drawing/2014/main" id="{2ABE9FC6-1D1D-4D0E-ABAC-E3AE9E3F1F59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5" name="Text Box 249">
          <a:extLst>
            <a:ext uri="{FF2B5EF4-FFF2-40B4-BE49-F238E27FC236}">
              <a16:creationId xmlns:a16="http://schemas.microsoft.com/office/drawing/2014/main" id="{93C82783-6EC4-46F0-A800-9750791E9366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6" name="Text Box 249">
          <a:extLst>
            <a:ext uri="{FF2B5EF4-FFF2-40B4-BE49-F238E27FC236}">
              <a16:creationId xmlns:a16="http://schemas.microsoft.com/office/drawing/2014/main" id="{7251487B-4A4F-4789-AD7B-34393171472E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7" name="Text Box 249">
          <a:extLst>
            <a:ext uri="{FF2B5EF4-FFF2-40B4-BE49-F238E27FC236}">
              <a16:creationId xmlns:a16="http://schemas.microsoft.com/office/drawing/2014/main" id="{ACF3E7C2-8FEA-4B9E-816F-7C400EE9F256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8" name="Text Box 249">
          <a:extLst>
            <a:ext uri="{FF2B5EF4-FFF2-40B4-BE49-F238E27FC236}">
              <a16:creationId xmlns:a16="http://schemas.microsoft.com/office/drawing/2014/main" id="{EB90608D-08FA-4DBC-A073-2565A6FBF530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9" name="Text Box 249">
          <a:extLst>
            <a:ext uri="{FF2B5EF4-FFF2-40B4-BE49-F238E27FC236}">
              <a16:creationId xmlns:a16="http://schemas.microsoft.com/office/drawing/2014/main" id="{F3B07DB4-03C2-4CEF-A62B-86781214DB89}"/>
            </a:ext>
          </a:extLst>
        </xdr:cNvPr>
        <xdr:cNvSpPr txBox="1">
          <a:spLocks noChangeArrowheads="1"/>
        </xdr:cNvSpPr>
      </xdr:nvSpPr>
      <xdr:spPr bwMode="auto">
        <a:xfrm>
          <a:off x="9560560" y="95410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60" name="Text Box 249">
          <a:extLst>
            <a:ext uri="{FF2B5EF4-FFF2-40B4-BE49-F238E27FC236}">
              <a16:creationId xmlns:a16="http://schemas.microsoft.com/office/drawing/2014/main" id="{B9B1260C-87A5-4250-9C79-978F97A84E7A}"/>
            </a:ext>
          </a:extLst>
        </xdr:cNvPr>
        <xdr:cNvSpPr txBox="1">
          <a:spLocks noChangeArrowheads="1"/>
        </xdr:cNvSpPr>
      </xdr:nvSpPr>
      <xdr:spPr bwMode="auto">
        <a:xfrm>
          <a:off x="9563100" y="954108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61" name="Text Box 249">
          <a:extLst>
            <a:ext uri="{FF2B5EF4-FFF2-40B4-BE49-F238E27FC236}">
              <a16:creationId xmlns:a16="http://schemas.microsoft.com/office/drawing/2014/main" id="{BB2F45BE-C9F4-41FC-8924-F50A0BBC4990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2" name="Text Box 249">
          <a:extLst>
            <a:ext uri="{FF2B5EF4-FFF2-40B4-BE49-F238E27FC236}">
              <a16:creationId xmlns:a16="http://schemas.microsoft.com/office/drawing/2014/main" id="{C6680F0D-1F4B-485C-8A28-39005D04947B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3" name="Text Box 249">
          <a:extLst>
            <a:ext uri="{FF2B5EF4-FFF2-40B4-BE49-F238E27FC236}">
              <a16:creationId xmlns:a16="http://schemas.microsoft.com/office/drawing/2014/main" id="{36F44560-7AC4-466B-A040-44B68E82400E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4" name="Text Box 249">
          <a:extLst>
            <a:ext uri="{FF2B5EF4-FFF2-40B4-BE49-F238E27FC236}">
              <a16:creationId xmlns:a16="http://schemas.microsoft.com/office/drawing/2014/main" id="{A6640C25-2BF7-453E-822B-2DB41FF26EE2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5" name="Text Box 249">
          <a:extLst>
            <a:ext uri="{FF2B5EF4-FFF2-40B4-BE49-F238E27FC236}">
              <a16:creationId xmlns:a16="http://schemas.microsoft.com/office/drawing/2014/main" id="{1ABF0DC9-78BF-4609-8959-D21D81DDB420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6" name="Text Box 249">
          <a:extLst>
            <a:ext uri="{FF2B5EF4-FFF2-40B4-BE49-F238E27FC236}">
              <a16:creationId xmlns:a16="http://schemas.microsoft.com/office/drawing/2014/main" id="{0FA7EF26-5A74-4EC8-AD65-70A2D966F4BF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7" name="Text Box 249">
          <a:extLst>
            <a:ext uri="{FF2B5EF4-FFF2-40B4-BE49-F238E27FC236}">
              <a16:creationId xmlns:a16="http://schemas.microsoft.com/office/drawing/2014/main" id="{58DBB82D-A143-4E56-80A8-E6574A42A6A1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68" name="Text Box 249">
          <a:extLst>
            <a:ext uri="{FF2B5EF4-FFF2-40B4-BE49-F238E27FC236}">
              <a16:creationId xmlns:a16="http://schemas.microsoft.com/office/drawing/2014/main" id="{1487A5D1-915C-4BD4-87B4-0D9F25FC812A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69" name="Text Box 249">
          <a:extLst>
            <a:ext uri="{FF2B5EF4-FFF2-40B4-BE49-F238E27FC236}">
              <a16:creationId xmlns:a16="http://schemas.microsoft.com/office/drawing/2014/main" id="{7F8F8E0A-27C2-4968-9A9D-968E89A1D0D1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0" name="Text Box 249">
          <a:extLst>
            <a:ext uri="{FF2B5EF4-FFF2-40B4-BE49-F238E27FC236}">
              <a16:creationId xmlns:a16="http://schemas.microsoft.com/office/drawing/2014/main" id="{A9B80012-8031-4F02-9BAE-AF5541E55A0E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1" name="Text Box 249">
          <a:extLst>
            <a:ext uri="{FF2B5EF4-FFF2-40B4-BE49-F238E27FC236}">
              <a16:creationId xmlns:a16="http://schemas.microsoft.com/office/drawing/2014/main" id="{00ADAF8A-E747-4FEB-A48D-20C37EEA63F2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2" name="Text Box 249">
          <a:extLst>
            <a:ext uri="{FF2B5EF4-FFF2-40B4-BE49-F238E27FC236}">
              <a16:creationId xmlns:a16="http://schemas.microsoft.com/office/drawing/2014/main" id="{433FC4D8-F4DC-41C3-8090-6FADC7A1F4C4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3" name="Text Box 249">
          <a:extLst>
            <a:ext uri="{FF2B5EF4-FFF2-40B4-BE49-F238E27FC236}">
              <a16:creationId xmlns:a16="http://schemas.microsoft.com/office/drawing/2014/main" id="{558666A9-726E-482C-B6FF-7848226E768D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4" name="Text Box 249">
          <a:extLst>
            <a:ext uri="{FF2B5EF4-FFF2-40B4-BE49-F238E27FC236}">
              <a16:creationId xmlns:a16="http://schemas.microsoft.com/office/drawing/2014/main" id="{DB853862-D195-41AF-A117-748D09E340C2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5" name="Text Box 249">
          <a:extLst>
            <a:ext uri="{FF2B5EF4-FFF2-40B4-BE49-F238E27FC236}">
              <a16:creationId xmlns:a16="http://schemas.microsoft.com/office/drawing/2014/main" id="{291A1319-E293-4227-866E-1928B92CFA63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76" name="Text Box 249">
          <a:extLst>
            <a:ext uri="{FF2B5EF4-FFF2-40B4-BE49-F238E27FC236}">
              <a16:creationId xmlns:a16="http://schemas.microsoft.com/office/drawing/2014/main" id="{150DEAD5-A1E6-4024-B556-22BF3DA48A98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77" name="Text Box 249">
          <a:extLst>
            <a:ext uri="{FF2B5EF4-FFF2-40B4-BE49-F238E27FC236}">
              <a16:creationId xmlns:a16="http://schemas.microsoft.com/office/drawing/2014/main" id="{6E8D6887-3A82-4E7D-B293-484C03A0FDD8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8" name="Text Box 249">
          <a:extLst>
            <a:ext uri="{FF2B5EF4-FFF2-40B4-BE49-F238E27FC236}">
              <a16:creationId xmlns:a16="http://schemas.microsoft.com/office/drawing/2014/main" id="{E75E659C-24BC-4DE0-829B-D743EAEC6184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9" name="Text Box 249">
          <a:extLst>
            <a:ext uri="{FF2B5EF4-FFF2-40B4-BE49-F238E27FC236}">
              <a16:creationId xmlns:a16="http://schemas.microsoft.com/office/drawing/2014/main" id="{10EE6061-F427-4211-9320-5BAA0FCB3098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0" name="Text Box 249">
          <a:extLst>
            <a:ext uri="{FF2B5EF4-FFF2-40B4-BE49-F238E27FC236}">
              <a16:creationId xmlns:a16="http://schemas.microsoft.com/office/drawing/2014/main" id="{492458BC-DFEB-4951-93D5-6755F7482469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1" name="Text Box 249">
          <a:extLst>
            <a:ext uri="{FF2B5EF4-FFF2-40B4-BE49-F238E27FC236}">
              <a16:creationId xmlns:a16="http://schemas.microsoft.com/office/drawing/2014/main" id="{A19CD2F0-A686-40B2-AA42-64F5781EC74F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2" name="Text Box 249">
          <a:extLst>
            <a:ext uri="{FF2B5EF4-FFF2-40B4-BE49-F238E27FC236}">
              <a16:creationId xmlns:a16="http://schemas.microsoft.com/office/drawing/2014/main" id="{30E21294-D2A6-494B-9F8E-FE5EA9655B40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3" name="Text Box 249">
          <a:extLst>
            <a:ext uri="{FF2B5EF4-FFF2-40B4-BE49-F238E27FC236}">
              <a16:creationId xmlns:a16="http://schemas.microsoft.com/office/drawing/2014/main" id="{7FA7D70E-1072-456C-8273-409D16DDB309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84" name="Text Box 249">
          <a:extLst>
            <a:ext uri="{FF2B5EF4-FFF2-40B4-BE49-F238E27FC236}">
              <a16:creationId xmlns:a16="http://schemas.microsoft.com/office/drawing/2014/main" id="{20FB7994-D994-41E1-AAC1-82FAA2631FF4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85" name="Text Box 249">
          <a:extLst>
            <a:ext uri="{FF2B5EF4-FFF2-40B4-BE49-F238E27FC236}">
              <a16:creationId xmlns:a16="http://schemas.microsoft.com/office/drawing/2014/main" id="{3AC11485-1189-4DBF-86A3-D556CCF4CE48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6" name="Text Box 249">
          <a:extLst>
            <a:ext uri="{FF2B5EF4-FFF2-40B4-BE49-F238E27FC236}">
              <a16:creationId xmlns:a16="http://schemas.microsoft.com/office/drawing/2014/main" id="{D7A2229F-8D61-404D-9803-9470B8AC0A2D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7" name="Text Box 249">
          <a:extLst>
            <a:ext uri="{FF2B5EF4-FFF2-40B4-BE49-F238E27FC236}">
              <a16:creationId xmlns:a16="http://schemas.microsoft.com/office/drawing/2014/main" id="{DBA00D2C-BB78-48B7-B30A-05C57C5D5798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8" name="Text Box 249">
          <a:extLst>
            <a:ext uri="{FF2B5EF4-FFF2-40B4-BE49-F238E27FC236}">
              <a16:creationId xmlns:a16="http://schemas.microsoft.com/office/drawing/2014/main" id="{10AB9EA7-1895-4249-BBBF-FF3048148F87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9" name="Text Box 249">
          <a:extLst>
            <a:ext uri="{FF2B5EF4-FFF2-40B4-BE49-F238E27FC236}">
              <a16:creationId xmlns:a16="http://schemas.microsoft.com/office/drawing/2014/main" id="{C5C7C366-51D2-4384-9C5B-299E4B94AF86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0" name="Text Box 249">
          <a:extLst>
            <a:ext uri="{FF2B5EF4-FFF2-40B4-BE49-F238E27FC236}">
              <a16:creationId xmlns:a16="http://schemas.microsoft.com/office/drawing/2014/main" id="{131F38A2-4F3B-4061-8AD4-613CC7B7FEF2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1" name="Text Box 249">
          <a:extLst>
            <a:ext uri="{FF2B5EF4-FFF2-40B4-BE49-F238E27FC236}">
              <a16:creationId xmlns:a16="http://schemas.microsoft.com/office/drawing/2014/main" id="{B2F16CA9-F7D2-4489-9171-66922D31BD48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92" name="Text Box 249">
          <a:extLst>
            <a:ext uri="{FF2B5EF4-FFF2-40B4-BE49-F238E27FC236}">
              <a16:creationId xmlns:a16="http://schemas.microsoft.com/office/drawing/2014/main" id="{E00D6BC3-B083-4619-AE63-CE9232E3AD19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93" name="Text Box 249">
          <a:extLst>
            <a:ext uri="{FF2B5EF4-FFF2-40B4-BE49-F238E27FC236}">
              <a16:creationId xmlns:a16="http://schemas.microsoft.com/office/drawing/2014/main" id="{CC94CAAC-B958-492D-B993-6B36666E3721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4" name="Text Box 249">
          <a:extLst>
            <a:ext uri="{FF2B5EF4-FFF2-40B4-BE49-F238E27FC236}">
              <a16:creationId xmlns:a16="http://schemas.microsoft.com/office/drawing/2014/main" id="{B2E80C61-52C6-443E-B2BD-79875C81C244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5" name="Text Box 249">
          <a:extLst>
            <a:ext uri="{FF2B5EF4-FFF2-40B4-BE49-F238E27FC236}">
              <a16:creationId xmlns:a16="http://schemas.microsoft.com/office/drawing/2014/main" id="{F5D3F592-3C97-48B5-93A1-AD24BB52A9E0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6" name="Text Box 249">
          <a:extLst>
            <a:ext uri="{FF2B5EF4-FFF2-40B4-BE49-F238E27FC236}">
              <a16:creationId xmlns:a16="http://schemas.microsoft.com/office/drawing/2014/main" id="{43430DB3-E065-4DAA-ABD2-22FC5820476F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7" name="Text Box 249">
          <a:extLst>
            <a:ext uri="{FF2B5EF4-FFF2-40B4-BE49-F238E27FC236}">
              <a16:creationId xmlns:a16="http://schemas.microsoft.com/office/drawing/2014/main" id="{7613B35C-F10D-44E4-BF26-0FDED20B7B3B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8" name="Text Box 249">
          <a:extLst>
            <a:ext uri="{FF2B5EF4-FFF2-40B4-BE49-F238E27FC236}">
              <a16:creationId xmlns:a16="http://schemas.microsoft.com/office/drawing/2014/main" id="{BB826C5B-7366-4425-BB7C-084DF646929B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9" name="Text Box 249">
          <a:extLst>
            <a:ext uri="{FF2B5EF4-FFF2-40B4-BE49-F238E27FC236}">
              <a16:creationId xmlns:a16="http://schemas.microsoft.com/office/drawing/2014/main" id="{94B28E6F-A8C5-4E87-9DB8-E6732DDA1BA1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500" name="Text Box 249">
          <a:extLst>
            <a:ext uri="{FF2B5EF4-FFF2-40B4-BE49-F238E27FC236}">
              <a16:creationId xmlns:a16="http://schemas.microsoft.com/office/drawing/2014/main" id="{F16295E0-4142-409D-915C-21E5C9A67C16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501" name="Text Box 249">
          <a:extLst>
            <a:ext uri="{FF2B5EF4-FFF2-40B4-BE49-F238E27FC236}">
              <a16:creationId xmlns:a16="http://schemas.microsoft.com/office/drawing/2014/main" id="{3C634963-C73F-4375-8851-DF38EA2A8372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2" name="Text Box 249">
          <a:extLst>
            <a:ext uri="{FF2B5EF4-FFF2-40B4-BE49-F238E27FC236}">
              <a16:creationId xmlns:a16="http://schemas.microsoft.com/office/drawing/2014/main" id="{16D4F7F0-7535-4517-8EA8-A548ABB99693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3" name="Text Box 249">
          <a:extLst>
            <a:ext uri="{FF2B5EF4-FFF2-40B4-BE49-F238E27FC236}">
              <a16:creationId xmlns:a16="http://schemas.microsoft.com/office/drawing/2014/main" id="{FE681B22-0B42-4AC2-9538-B68E3D842D7F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4" name="Text Box 249">
          <a:extLst>
            <a:ext uri="{FF2B5EF4-FFF2-40B4-BE49-F238E27FC236}">
              <a16:creationId xmlns:a16="http://schemas.microsoft.com/office/drawing/2014/main" id="{FDCC21DE-39E2-4BAF-A5FA-D52929C124F5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5" name="Text Box 249">
          <a:extLst>
            <a:ext uri="{FF2B5EF4-FFF2-40B4-BE49-F238E27FC236}">
              <a16:creationId xmlns:a16="http://schemas.microsoft.com/office/drawing/2014/main" id="{28B64B08-B3BC-4776-A417-5B68014C317D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6" name="Text Box 249">
          <a:extLst>
            <a:ext uri="{FF2B5EF4-FFF2-40B4-BE49-F238E27FC236}">
              <a16:creationId xmlns:a16="http://schemas.microsoft.com/office/drawing/2014/main" id="{9AAD471F-36DA-4FF2-ADCB-DDBC9EE0D781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7" name="Text Box 249">
          <a:extLst>
            <a:ext uri="{FF2B5EF4-FFF2-40B4-BE49-F238E27FC236}">
              <a16:creationId xmlns:a16="http://schemas.microsoft.com/office/drawing/2014/main" id="{FD9E64CD-B9E8-49E1-8A38-EA6B52066D2D}"/>
            </a:ext>
          </a:extLst>
        </xdr:cNvPr>
        <xdr:cNvSpPr txBox="1">
          <a:spLocks noChangeArrowheads="1"/>
        </xdr:cNvSpPr>
      </xdr:nvSpPr>
      <xdr:spPr bwMode="auto">
        <a:xfrm>
          <a:off x="9560560" y="95580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508" name="Text Box 249">
          <a:extLst>
            <a:ext uri="{FF2B5EF4-FFF2-40B4-BE49-F238E27FC236}">
              <a16:creationId xmlns:a16="http://schemas.microsoft.com/office/drawing/2014/main" id="{9450A519-6684-46D2-90FB-47BD1EBD8FAE}"/>
            </a:ext>
          </a:extLst>
        </xdr:cNvPr>
        <xdr:cNvSpPr txBox="1">
          <a:spLocks noChangeArrowheads="1"/>
        </xdr:cNvSpPr>
      </xdr:nvSpPr>
      <xdr:spPr bwMode="auto">
        <a:xfrm>
          <a:off x="9563100" y="95580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17326" cy="218324"/>
    <xdr:sp macro="" textlink="">
      <xdr:nvSpPr>
        <xdr:cNvPr id="509" name="Text Box 249">
          <a:extLst>
            <a:ext uri="{FF2B5EF4-FFF2-40B4-BE49-F238E27FC236}">
              <a16:creationId xmlns:a16="http://schemas.microsoft.com/office/drawing/2014/main" id="{8C4AD94D-ED9F-46D4-9B24-668B245D70C3}"/>
            </a:ext>
          </a:extLst>
        </xdr:cNvPr>
        <xdr:cNvSpPr txBox="1">
          <a:spLocks noChangeArrowheads="1"/>
        </xdr:cNvSpPr>
      </xdr:nvSpPr>
      <xdr:spPr bwMode="auto">
        <a:xfrm>
          <a:off x="9563100" y="1043855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10" name="Text Box 249">
          <a:extLst>
            <a:ext uri="{FF2B5EF4-FFF2-40B4-BE49-F238E27FC236}">
              <a16:creationId xmlns:a16="http://schemas.microsoft.com/office/drawing/2014/main" id="{C10FE8AB-8457-4B36-A971-A44CFA0AB49C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11" name="Text Box 249">
          <a:extLst>
            <a:ext uri="{FF2B5EF4-FFF2-40B4-BE49-F238E27FC236}">
              <a16:creationId xmlns:a16="http://schemas.microsoft.com/office/drawing/2014/main" id="{A18B0E30-DE72-4C21-A08D-402E3627916D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12" name="Text Box 249">
          <a:extLst>
            <a:ext uri="{FF2B5EF4-FFF2-40B4-BE49-F238E27FC236}">
              <a16:creationId xmlns:a16="http://schemas.microsoft.com/office/drawing/2014/main" id="{0B4ECD03-9595-482A-A357-7D0239D0A8F9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13" name="Text Box 249">
          <a:extLst>
            <a:ext uri="{FF2B5EF4-FFF2-40B4-BE49-F238E27FC236}">
              <a16:creationId xmlns:a16="http://schemas.microsoft.com/office/drawing/2014/main" id="{16FB8577-C16E-4BB9-BCE8-1107A0C30265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14" name="Text Box 249">
          <a:extLst>
            <a:ext uri="{FF2B5EF4-FFF2-40B4-BE49-F238E27FC236}">
              <a16:creationId xmlns:a16="http://schemas.microsoft.com/office/drawing/2014/main" id="{2C7D789A-159E-4650-8FEB-D04113A71001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15" name="Text Box 249">
          <a:extLst>
            <a:ext uri="{FF2B5EF4-FFF2-40B4-BE49-F238E27FC236}">
              <a16:creationId xmlns:a16="http://schemas.microsoft.com/office/drawing/2014/main" id="{AE03FD39-2A1F-4B74-B354-A4617789B319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04775" cy="210011"/>
    <xdr:sp macro="" textlink="">
      <xdr:nvSpPr>
        <xdr:cNvPr id="516" name="Text Box 249">
          <a:extLst>
            <a:ext uri="{FF2B5EF4-FFF2-40B4-BE49-F238E27FC236}">
              <a16:creationId xmlns:a16="http://schemas.microsoft.com/office/drawing/2014/main" id="{BE0826F9-103F-4E40-B8D9-F54B11986400}"/>
            </a:ext>
          </a:extLst>
        </xdr:cNvPr>
        <xdr:cNvSpPr txBox="1">
          <a:spLocks noChangeArrowheads="1"/>
        </xdr:cNvSpPr>
      </xdr:nvSpPr>
      <xdr:spPr bwMode="auto">
        <a:xfrm>
          <a:off x="9563100" y="1043855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517" name="Text Box 249">
          <a:extLst>
            <a:ext uri="{FF2B5EF4-FFF2-40B4-BE49-F238E27FC236}">
              <a16:creationId xmlns:a16="http://schemas.microsoft.com/office/drawing/2014/main" id="{E53A356B-D39D-424A-BC7D-466124D773D6}"/>
            </a:ext>
          </a:extLst>
        </xdr:cNvPr>
        <xdr:cNvSpPr txBox="1">
          <a:spLocks noChangeArrowheads="1"/>
        </xdr:cNvSpPr>
      </xdr:nvSpPr>
      <xdr:spPr bwMode="auto">
        <a:xfrm>
          <a:off x="9563100" y="1045548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18" name="Text Box 249">
          <a:extLst>
            <a:ext uri="{FF2B5EF4-FFF2-40B4-BE49-F238E27FC236}">
              <a16:creationId xmlns:a16="http://schemas.microsoft.com/office/drawing/2014/main" id="{15D82A7D-BD8C-4504-9614-AF9760284A25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19" name="Text Box 249">
          <a:extLst>
            <a:ext uri="{FF2B5EF4-FFF2-40B4-BE49-F238E27FC236}">
              <a16:creationId xmlns:a16="http://schemas.microsoft.com/office/drawing/2014/main" id="{E8F84E7A-F84A-464F-93BC-65E49CE84A64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20" name="Text Box 249">
          <a:extLst>
            <a:ext uri="{FF2B5EF4-FFF2-40B4-BE49-F238E27FC236}">
              <a16:creationId xmlns:a16="http://schemas.microsoft.com/office/drawing/2014/main" id="{7CD4B752-C8BF-4338-BEA1-B71C8A38CCC3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21" name="Text Box 249">
          <a:extLst>
            <a:ext uri="{FF2B5EF4-FFF2-40B4-BE49-F238E27FC236}">
              <a16:creationId xmlns:a16="http://schemas.microsoft.com/office/drawing/2014/main" id="{52F9FF04-89ED-4BCA-8754-4AA1D94A64E2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22" name="Text Box 249">
          <a:extLst>
            <a:ext uri="{FF2B5EF4-FFF2-40B4-BE49-F238E27FC236}">
              <a16:creationId xmlns:a16="http://schemas.microsoft.com/office/drawing/2014/main" id="{E8CE1A14-3156-4DDC-87B7-81C973117333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23" name="Text Box 249">
          <a:extLst>
            <a:ext uri="{FF2B5EF4-FFF2-40B4-BE49-F238E27FC236}">
              <a16:creationId xmlns:a16="http://schemas.microsoft.com/office/drawing/2014/main" id="{9F08AE53-8226-437C-95BA-D444953878D5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524" name="Text Box 249">
          <a:extLst>
            <a:ext uri="{FF2B5EF4-FFF2-40B4-BE49-F238E27FC236}">
              <a16:creationId xmlns:a16="http://schemas.microsoft.com/office/drawing/2014/main" id="{2D61FA12-A0A6-419B-8715-6567B2CC1CB4}"/>
            </a:ext>
          </a:extLst>
        </xdr:cNvPr>
        <xdr:cNvSpPr txBox="1">
          <a:spLocks noChangeArrowheads="1"/>
        </xdr:cNvSpPr>
      </xdr:nvSpPr>
      <xdr:spPr bwMode="auto">
        <a:xfrm>
          <a:off x="9563100" y="1045548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17326" cy="218324"/>
    <xdr:sp macro="" textlink="">
      <xdr:nvSpPr>
        <xdr:cNvPr id="525" name="Text Box 249">
          <a:extLst>
            <a:ext uri="{FF2B5EF4-FFF2-40B4-BE49-F238E27FC236}">
              <a16:creationId xmlns:a16="http://schemas.microsoft.com/office/drawing/2014/main" id="{D8E91DBF-48B9-4B2F-9E2A-62DEB06C7A03}"/>
            </a:ext>
          </a:extLst>
        </xdr:cNvPr>
        <xdr:cNvSpPr txBox="1">
          <a:spLocks noChangeArrowheads="1"/>
        </xdr:cNvSpPr>
      </xdr:nvSpPr>
      <xdr:spPr bwMode="auto">
        <a:xfrm>
          <a:off x="9563100" y="1043855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26" name="Text Box 249">
          <a:extLst>
            <a:ext uri="{FF2B5EF4-FFF2-40B4-BE49-F238E27FC236}">
              <a16:creationId xmlns:a16="http://schemas.microsoft.com/office/drawing/2014/main" id="{75719A56-758B-440B-B8CD-9A9F1F613EE5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27" name="Text Box 249">
          <a:extLst>
            <a:ext uri="{FF2B5EF4-FFF2-40B4-BE49-F238E27FC236}">
              <a16:creationId xmlns:a16="http://schemas.microsoft.com/office/drawing/2014/main" id="{B8D9380B-3726-422F-BC58-352CAF4BD0F9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28" name="Text Box 249">
          <a:extLst>
            <a:ext uri="{FF2B5EF4-FFF2-40B4-BE49-F238E27FC236}">
              <a16:creationId xmlns:a16="http://schemas.microsoft.com/office/drawing/2014/main" id="{A333094B-41AB-438A-980E-C1352468E158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29" name="Text Box 249">
          <a:extLst>
            <a:ext uri="{FF2B5EF4-FFF2-40B4-BE49-F238E27FC236}">
              <a16:creationId xmlns:a16="http://schemas.microsoft.com/office/drawing/2014/main" id="{6982B9ED-6B36-44A8-82B9-82A920E9BEFD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30" name="Text Box 249">
          <a:extLst>
            <a:ext uri="{FF2B5EF4-FFF2-40B4-BE49-F238E27FC236}">
              <a16:creationId xmlns:a16="http://schemas.microsoft.com/office/drawing/2014/main" id="{78C396B9-52C4-4F84-AFA3-651664B27C73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31" name="Text Box 249">
          <a:extLst>
            <a:ext uri="{FF2B5EF4-FFF2-40B4-BE49-F238E27FC236}">
              <a16:creationId xmlns:a16="http://schemas.microsoft.com/office/drawing/2014/main" id="{0FCA4D0C-D19F-4E2E-91FF-64D85664B0F9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04775" cy="210011"/>
    <xdr:sp macro="" textlink="">
      <xdr:nvSpPr>
        <xdr:cNvPr id="532" name="Text Box 249">
          <a:extLst>
            <a:ext uri="{FF2B5EF4-FFF2-40B4-BE49-F238E27FC236}">
              <a16:creationId xmlns:a16="http://schemas.microsoft.com/office/drawing/2014/main" id="{63EDAAB1-CEDF-4113-B29B-90014A809B76}"/>
            </a:ext>
          </a:extLst>
        </xdr:cNvPr>
        <xdr:cNvSpPr txBox="1">
          <a:spLocks noChangeArrowheads="1"/>
        </xdr:cNvSpPr>
      </xdr:nvSpPr>
      <xdr:spPr bwMode="auto">
        <a:xfrm>
          <a:off x="9563100" y="1043855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677</xdr:row>
      <xdr:rowOff>0</xdr:rowOff>
    </xdr:from>
    <xdr:ext cx="117326" cy="218324"/>
    <xdr:sp macro="" textlink="">
      <xdr:nvSpPr>
        <xdr:cNvPr id="533" name="Text Box 249">
          <a:extLst>
            <a:ext uri="{FF2B5EF4-FFF2-40B4-BE49-F238E27FC236}">
              <a16:creationId xmlns:a16="http://schemas.microsoft.com/office/drawing/2014/main" id="{6EBC5A8B-69AE-462B-8BAA-DC34E9B80E41}"/>
            </a:ext>
          </a:extLst>
        </xdr:cNvPr>
        <xdr:cNvSpPr txBox="1">
          <a:spLocks noChangeArrowheads="1"/>
        </xdr:cNvSpPr>
      </xdr:nvSpPr>
      <xdr:spPr bwMode="auto">
        <a:xfrm>
          <a:off x="9563100" y="103708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4" name="Text Box 249">
          <a:extLst>
            <a:ext uri="{FF2B5EF4-FFF2-40B4-BE49-F238E27FC236}">
              <a16:creationId xmlns:a16="http://schemas.microsoft.com/office/drawing/2014/main" id="{A59A63D8-A8BA-41C2-8A5C-3EB7AF2D1444}"/>
            </a:ext>
          </a:extLst>
        </xdr:cNvPr>
        <xdr:cNvSpPr txBox="1">
          <a:spLocks noChangeArrowheads="1"/>
        </xdr:cNvSpPr>
      </xdr:nvSpPr>
      <xdr:spPr bwMode="auto">
        <a:xfrm>
          <a:off x="9560560" y="103708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5" name="Text Box 249">
          <a:extLst>
            <a:ext uri="{FF2B5EF4-FFF2-40B4-BE49-F238E27FC236}">
              <a16:creationId xmlns:a16="http://schemas.microsoft.com/office/drawing/2014/main" id="{CA45BD70-E7D1-4002-B7A8-F6E3BECECEF4}"/>
            </a:ext>
          </a:extLst>
        </xdr:cNvPr>
        <xdr:cNvSpPr txBox="1">
          <a:spLocks noChangeArrowheads="1"/>
        </xdr:cNvSpPr>
      </xdr:nvSpPr>
      <xdr:spPr bwMode="auto">
        <a:xfrm>
          <a:off x="9560560" y="103708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6" name="Text Box 249">
          <a:extLst>
            <a:ext uri="{FF2B5EF4-FFF2-40B4-BE49-F238E27FC236}">
              <a16:creationId xmlns:a16="http://schemas.microsoft.com/office/drawing/2014/main" id="{D0DE424A-B4B7-4351-9205-27386EECC302}"/>
            </a:ext>
          </a:extLst>
        </xdr:cNvPr>
        <xdr:cNvSpPr txBox="1">
          <a:spLocks noChangeArrowheads="1"/>
        </xdr:cNvSpPr>
      </xdr:nvSpPr>
      <xdr:spPr bwMode="auto">
        <a:xfrm>
          <a:off x="9560560" y="103708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7" name="Text Box 249">
          <a:extLst>
            <a:ext uri="{FF2B5EF4-FFF2-40B4-BE49-F238E27FC236}">
              <a16:creationId xmlns:a16="http://schemas.microsoft.com/office/drawing/2014/main" id="{F8D9E6B3-5BFC-4896-91F5-7DE29EB8C624}"/>
            </a:ext>
          </a:extLst>
        </xdr:cNvPr>
        <xdr:cNvSpPr txBox="1">
          <a:spLocks noChangeArrowheads="1"/>
        </xdr:cNvSpPr>
      </xdr:nvSpPr>
      <xdr:spPr bwMode="auto">
        <a:xfrm>
          <a:off x="9560560" y="103708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8" name="Text Box 249">
          <a:extLst>
            <a:ext uri="{FF2B5EF4-FFF2-40B4-BE49-F238E27FC236}">
              <a16:creationId xmlns:a16="http://schemas.microsoft.com/office/drawing/2014/main" id="{BA2046F9-DE61-482A-891E-88E143BB5E25}"/>
            </a:ext>
          </a:extLst>
        </xdr:cNvPr>
        <xdr:cNvSpPr txBox="1">
          <a:spLocks noChangeArrowheads="1"/>
        </xdr:cNvSpPr>
      </xdr:nvSpPr>
      <xdr:spPr bwMode="auto">
        <a:xfrm>
          <a:off x="9560560" y="103708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9" name="Text Box 249">
          <a:extLst>
            <a:ext uri="{FF2B5EF4-FFF2-40B4-BE49-F238E27FC236}">
              <a16:creationId xmlns:a16="http://schemas.microsoft.com/office/drawing/2014/main" id="{63E44C6A-5EF8-4A4D-946E-5C3B243796EC}"/>
            </a:ext>
          </a:extLst>
        </xdr:cNvPr>
        <xdr:cNvSpPr txBox="1">
          <a:spLocks noChangeArrowheads="1"/>
        </xdr:cNvSpPr>
      </xdr:nvSpPr>
      <xdr:spPr bwMode="auto">
        <a:xfrm>
          <a:off x="9560560" y="103708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677</xdr:row>
      <xdr:rowOff>0</xdr:rowOff>
    </xdr:from>
    <xdr:ext cx="104775" cy="210011"/>
    <xdr:sp macro="" textlink="">
      <xdr:nvSpPr>
        <xdr:cNvPr id="540" name="Text Box 249">
          <a:extLst>
            <a:ext uri="{FF2B5EF4-FFF2-40B4-BE49-F238E27FC236}">
              <a16:creationId xmlns:a16="http://schemas.microsoft.com/office/drawing/2014/main" id="{16F65742-1BF1-4370-A9F7-80D82A93E53C}"/>
            </a:ext>
          </a:extLst>
        </xdr:cNvPr>
        <xdr:cNvSpPr txBox="1">
          <a:spLocks noChangeArrowheads="1"/>
        </xdr:cNvSpPr>
      </xdr:nvSpPr>
      <xdr:spPr bwMode="auto">
        <a:xfrm>
          <a:off x="9563100" y="103708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41" name="Text Box 249">
          <a:extLst>
            <a:ext uri="{FF2B5EF4-FFF2-40B4-BE49-F238E27FC236}">
              <a16:creationId xmlns:a16="http://schemas.microsoft.com/office/drawing/2014/main" id="{1A931769-2EB0-4C3E-A1BF-DAAAE0FDEE2C}"/>
            </a:ext>
          </a:extLst>
        </xdr:cNvPr>
        <xdr:cNvSpPr txBox="1">
          <a:spLocks noChangeArrowheads="1"/>
        </xdr:cNvSpPr>
      </xdr:nvSpPr>
      <xdr:spPr bwMode="auto">
        <a:xfrm>
          <a:off x="9563100" y="1040468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2" name="Text Box 249">
          <a:extLst>
            <a:ext uri="{FF2B5EF4-FFF2-40B4-BE49-F238E27FC236}">
              <a16:creationId xmlns:a16="http://schemas.microsoft.com/office/drawing/2014/main" id="{0008A191-A71F-46B7-A86E-8A0053368F47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3" name="Text Box 249">
          <a:extLst>
            <a:ext uri="{FF2B5EF4-FFF2-40B4-BE49-F238E27FC236}">
              <a16:creationId xmlns:a16="http://schemas.microsoft.com/office/drawing/2014/main" id="{D552AA39-2D9F-43A3-BA62-BDF666D8F5C8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4" name="Text Box 249">
          <a:extLst>
            <a:ext uri="{FF2B5EF4-FFF2-40B4-BE49-F238E27FC236}">
              <a16:creationId xmlns:a16="http://schemas.microsoft.com/office/drawing/2014/main" id="{DD020D4D-C32D-4EDB-89FA-431F60D0CF79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5" name="Text Box 249">
          <a:extLst>
            <a:ext uri="{FF2B5EF4-FFF2-40B4-BE49-F238E27FC236}">
              <a16:creationId xmlns:a16="http://schemas.microsoft.com/office/drawing/2014/main" id="{0BAB5721-7CE7-43C4-A1B1-0CF5EE84BA8B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6" name="Text Box 249">
          <a:extLst>
            <a:ext uri="{FF2B5EF4-FFF2-40B4-BE49-F238E27FC236}">
              <a16:creationId xmlns:a16="http://schemas.microsoft.com/office/drawing/2014/main" id="{512E721D-9C09-4963-B171-414ACB2A1318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7" name="Text Box 249">
          <a:extLst>
            <a:ext uri="{FF2B5EF4-FFF2-40B4-BE49-F238E27FC236}">
              <a16:creationId xmlns:a16="http://schemas.microsoft.com/office/drawing/2014/main" id="{B51A4FA6-2919-4FEE-B051-A3A8DCB53A57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48" name="Text Box 249">
          <a:extLst>
            <a:ext uri="{FF2B5EF4-FFF2-40B4-BE49-F238E27FC236}">
              <a16:creationId xmlns:a16="http://schemas.microsoft.com/office/drawing/2014/main" id="{F075002E-3A33-4D6C-A339-CF42C925F53F}"/>
            </a:ext>
          </a:extLst>
        </xdr:cNvPr>
        <xdr:cNvSpPr txBox="1">
          <a:spLocks noChangeArrowheads="1"/>
        </xdr:cNvSpPr>
      </xdr:nvSpPr>
      <xdr:spPr bwMode="auto">
        <a:xfrm>
          <a:off x="9563100" y="1040468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49" name="Text Box 249">
          <a:extLst>
            <a:ext uri="{FF2B5EF4-FFF2-40B4-BE49-F238E27FC236}">
              <a16:creationId xmlns:a16="http://schemas.microsoft.com/office/drawing/2014/main" id="{A0C8FC50-B1D2-4612-AA5F-91911081D7E5}"/>
            </a:ext>
          </a:extLst>
        </xdr:cNvPr>
        <xdr:cNvSpPr txBox="1">
          <a:spLocks noChangeArrowheads="1"/>
        </xdr:cNvSpPr>
      </xdr:nvSpPr>
      <xdr:spPr bwMode="auto">
        <a:xfrm>
          <a:off x="9563100" y="1040468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0" name="Text Box 249">
          <a:extLst>
            <a:ext uri="{FF2B5EF4-FFF2-40B4-BE49-F238E27FC236}">
              <a16:creationId xmlns:a16="http://schemas.microsoft.com/office/drawing/2014/main" id="{F8D2249C-D822-4A0F-9E59-50C09B8F8866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1" name="Text Box 249">
          <a:extLst>
            <a:ext uri="{FF2B5EF4-FFF2-40B4-BE49-F238E27FC236}">
              <a16:creationId xmlns:a16="http://schemas.microsoft.com/office/drawing/2014/main" id="{8C52DD04-17B3-46D2-9FF0-C3511EB16783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2" name="Text Box 249">
          <a:extLst>
            <a:ext uri="{FF2B5EF4-FFF2-40B4-BE49-F238E27FC236}">
              <a16:creationId xmlns:a16="http://schemas.microsoft.com/office/drawing/2014/main" id="{51BAF349-7FFC-4ED4-9A61-F3B0A8F968AD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3" name="Text Box 249">
          <a:extLst>
            <a:ext uri="{FF2B5EF4-FFF2-40B4-BE49-F238E27FC236}">
              <a16:creationId xmlns:a16="http://schemas.microsoft.com/office/drawing/2014/main" id="{1338FD0D-1E10-42D1-936C-C1F3AD0A7FC2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4" name="Text Box 249">
          <a:extLst>
            <a:ext uri="{FF2B5EF4-FFF2-40B4-BE49-F238E27FC236}">
              <a16:creationId xmlns:a16="http://schemas.microsoft.com/office/drawing/2014/main" id="{0E64E22F-FEC5-44A3-A801-02A8511E54A2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5" name="Text Box 249">
          <a:extLst>
            <a:ext uri="{FF2B5EF4-FFF2-40B4-BE49-F238E27FC236}">
              <a16:creationId xmlns:a16="http://schemas.microsoft.com/office/drawing/2014/main" id="{2C875F99-9FF6-4AC7-8D14-BB6EAC927EA8}"/>
            </a:ext>
          </a:extLst>
        </xdr:cNvPr>
        <xdr:cNvSpPr txBox="1">
          <a:spLocks noChangeArrowheads="1"/>
        </xdr:cNvSpPr>
      </xdr:nvSpPr>
      <xdr:spPr bwMode="auto">
        <a:xfrm>
          <a:off x="9560560" y="104046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56" name="Text Box 249">
          <a:extLst>
            <a:ext uri="{FF2B5EF4-FFF2-40B4-BE49-F238E27FC236}">
              <a16:creationId xmlns:a16="http://schemas.microsoft.com/office/drawing/2014/main" id="{1530E805-EA4A-4427-86D9-4DDCD470AC98}"/>
            </a:ext>
          </a:extLst>
        </xdr:cNvPr>
        <xdr:cNvSpPr txBox="1">
          <a:spLocks noChangeArrowheads="1"/>
        </xdr:cNvSpPr>
      </xdr:nvSpPr>
      <xdr:spPr bwMode="auto">
        <a:xfrm>
          <a:off x="9563100" y="1040468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57" name="Text Box 249">
          <a:extLst>
            <a:ext uri="{FF2B5EF4-FFF2-40B4-BE49-F238E27FC236}">
              <a16:creationId xmlns:a16="http://schemas.microsoft.com/office/drawing/2014/main" id="{791D9A61-1C35-4CA1-BA35-BA6493FE7660}"/>
            </a:ext>
          </a:extLst>
        </xdr:cNvPr>
        <xdr:cNvSpPr txBox="1">
          <a:spLocks noChangeArrowheads="1"/>
        </xdr:cNvSpPr>
      </xdr:nvSpPr>
      <xdr:spPr bwMode="auto">
        <a:xfrm>
          <a:off x="9563100" y="1043855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8" name="Text Box 249">
          <a:extLst>
            <a:ext uri="{FF2B5EF4-FFF2-40B4-BE49-F238E27FC236}">
              <a16:creationId xmlns:a16="http://schemas.microsoft.com/office/drawing/2014/main" id="{39E431B6-3673-499B-8B63-75E413CA3ED9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9" name="Text Box 249">
          <a:extLst>
            <a:ext uri="{FF2B5EF4-FFF2-40B4-BE49-F238E27FC236}">
              <a16:creationId xmlns:a16="http://schemas.microsoft.com/office/drawing/2014/main" id="{953C24ED-C68D-4C30-9EE7-183157E5164E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0" name="Text Box 249">
          <a:extLst>
            <a:ext uri="{FF2B5EF4-FFF2-40B4-BE49-F238E27FC236}">
              <a16:creationId xmlns:a16="http://schemas.microsoft.com/office/drawing/2014/main" id="{E6C136C9-C8AE-43DF-AA82-29D2831D832C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1" name="Text Box 249">
          <a:extLst>
            <a:ext uri="{FF2B5EF4-FFF2-40B4-BE49-F238E27FC236}">
              <a16:creationId xmlns:a16="http://schemas.microsoft.com/office/drawing/2014/main" id="{3B450B87-2D47-4B5C-99DD-13790092F1FD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2" name="Text Box 249">
          <a:extLst>
            <a:ext uri="{FF2B5EF4-FFF2-40B4-BE49-F238E27FC236}">
              <a16:creationId xmlns:a16="http://schemas.microsoft.com/office/drawing/2014/main" id="{EE113A4D-165C-42F7-AFB1-C18A01A90106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3" name="Text Box 249">
          <a:extLst>
            <a:ext uri="{FF2B5EF4-FFF2-40B4-BE49-F238E27FC236}">
              <a16:creationId xmlns:a16="http://schemas.microsoft.com/office/drawing/2014/main" id="{F698F3D5-3CC4-4D84-B7EE-0ED12F5ED5DD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64" name="Text Box 249">
          <a:extLst>
            <a:ext uri="{FF2B5EF4-FFF2-40B4-BE49-F238E27FC236}">
              <a16:creationId xmlns:a16="http://schemas.microsoft.com/office/drawing/2014/main" id="{1EE9F1BB-C110-411F-9A2E-D5CC3F7F7DD0}"/>
            </a:ext>
          </a:extLst>
        </xdr:cNvPr>
        <xdr:cNvSpPr txBox="1">
          <a:spLocks noChangeArrowheads="1"/>
        </xdr:cNvSpPr>
      </xdr:nvSpPr>
      <xdr:spPr bwMode="auto">
        <a:xfrm>
          <a:off x="9563100" y="1043855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65" name="Text Box 249">
          <a:extLst>
            <a:ext uri="{FF2B5EF4-FFF2-40B4-BE49-F238E27FC236}">
              <a16:creationId xmlns:a16="http://schemas.microsoft.com/office/drawing/2014/main" id="{417FC197-8561-44D2-A7EB-D51551EF72EF}"/>
            </a:ext>
          </a:extLst>
        </xdr:cNvPr>
        <xdr:cNvSpPr txBox="1">
          <a:spLocks noChangeArrowheads="1"/>
        </xdr:cNvSpPr>
      </xdr:nvSpPr>
      <xdr:spPr bwMode="auto">
        <a:xfrm>
          <a:off x="9563100" y="1045548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6" name="Text Box 249">
          <a:extLst>
            <a:ext uri="{FF2B5EF4-FFF2-40B4-BE49-F238E27FC236}">
              <a16:creationId xmlns:a16="http://schemas.microsoft.com/office/drawing/2014/main" id="{E1468DA3-2FAB-4AF1-9EDB-B3E74F1F832D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7" name="Text Box 249">
          <a:extLst>
            <a:ext uri="{FF2B5EF4-FFF2-40B4-BE49-F238E27FC236}">
              <a16:creationId xmlns:a16="http://schemas.microsoft.com/office/drawing/2014/main" id="{7B499C86-F73E-4711-BB80-C98164166D6C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8" name="Text Box 249">
          <a:extLst>
            <a:ext uri="{FF2B5EF4-FFF2-40B4-BE49-F238E27FC236}">
              <a16:creationId xmlns:a16="http://schemas.microsoft.com/office/drawing/2014/main" id="{3D875F62-4EEA-4780-ACE4-A427DA7E78A0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9" name="Text Box 249">
          <a:extLst>
            <a:ext uri="{FF2B5EF4-FFF2-40B4-BE49-F238E27FC236}">
              <a16:creationId xmlns:a16="http://schemas.microsoft.com/office/drawing/2014/main" id="{34BB3869-D344-4EE5-8DB6-DBD9A9C564ED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0" name="Text Box 249">
          <a:extLst>
            <a:ext uri="{FF2B5EF4-FFF2-40B4-BE49-F238E27FC236}">
              <a16:creationId xmlns:a16="http://schemas.microsoft.com/office/drawing/2014/main" id="{4EC0AB39-FFF8-4521-BB0B-40573C09469E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1" name="Text Box 249">
          <a:extLst>
            <a:ext uri="{FF2B5EF4-FFF2-40B4-BE49-F238E27FC236}">
              <a16:creationId xmlns:a16="http://schemas.microsoft.com/office/drawing/2014/main" id="{8A848766-FA59-439C-954A-17BE2CE7B967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72" name="Text Box 249">
          <a:extLst>
            <a:ext uri="{FF2B5EF4-FFF2-40B4-BE49-F238E27FC236}">
              <a16:creationId xmlns:a16="http://schemas.microsoft.com/office/drawing/2014/main" id="{D86EB183-6D9C-4F3C-9A21-4DFC199EFEB5}"/>
            </a:ext>
          </a:extLst>
        </xdr:cNvPr>
        <xdr:cNvSpPr txBox="1">
          <a:spLocks noChangeArrowheads="1"/>
        </xdr:cNvSpPr>
      </xdr:nvSpPr>
      <xdr:spPr bwMode="auto">
        <a:xfrm>
          <a:off x="9563100" y="1045548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73" name="Text Box 249">
          <a:extLst>
            <a:ext uri="{FF2B5EF4-FFF2-40B4-BE49-F238E27FC236}">
              <a16:creationId xmlns:a16="http://schemas.microsoft.com/office/drawing/2014/main" id="{988B7496-1D98-4995-B5A2-94674F5D130E}"/>
            </a:ext>
          </a:extLst>
        </xdr:cNvPr>
        <xdr:cNvSpPr txBox="1">
          <a:spLocks noChangeArrowheads="1"/>
        </xdr:cNvSpPr>
      </xdr:nvSpPr>
      <xdr:spPr bwMode="auto">
        <a:xfrm>
          <a:off x="9563100" y="10438553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4" name="Text Box 249">
          <a:extLst>
            <a:ext uri="{FF2B5EF4-FFF2-40B4-BE49-F238E27FC236}">
              <a16:creationId xmlns:a16="http://schemas.microsoft.com/office/drawing/2014/main" id="{27A344BC-A2EB-4FD4-98E9-CE997DC77EC6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5" name="Text Box 249">
          <a:extLst>
            <a:ext uri="{FF2B5EF4-FFF2-40B4-BE49-F238E27FC236}">
              <a16:creationId xmlns:a16="http://schemas.microsoft.com/office/drawing/2014/main" id="{A97DE759-C819-478C-92A5-F1917F0B2C8B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6" name="Text Box 249">
          <a:extLst>
            <a:ext uri="{FF2B5EF4-FFF2-40B4-BE49-F238E27FC236}">
              <a16:creationId xmlns:a16="http://schemas.microsoft.com/office/drawing/2014/main" id="{60BD68CD-47F6-405D-9F3E-5ECC93272348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7" name="Text Box 249">
          <a:extLst>
            <a:ext uri="{FF2B5EF4-FFF2-40B4-BE49-F238E27FC236}">
              <a16:creationId xmlns:a16="http://schemas.microsoft.com/office/drawing/2014/main" id="{96133022-F2AD-488D-B0DE-FE6BC49A8235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8" name="Text Box 249">
          <a:extLst>
            <a:ext uri="{FF2B5EF4-FFF2-40B4-BE49-F238E27FC236}">
              <a16:creationId xmlns:a16="http://schemas.microsoft.com/office/drawing/2014/main" id="{D980972A-8A60-4D75-80EC-A733B311C6B8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9" name="Text Box 249">
          <a:extLst>
            <a:ext uri="{FF2B5EF4-FFF2-40B4-BE49-F238E27FC236}">
              <a16:creationId xmlns:a16="http://schemas.microsoft.com/office/drawing/2014/main" id="{0B32C965-3C39-4366-8055-9DBFE2165856}"/>
            </a:ext>
          </a:extLst>
        </xdr:cNvPr>
        <xdr:cNvSpPr txBox="1">
          <a:spLocks noChangeArrowheads="1"/>
        </xdr:cNvSpPr>
      </xdr:nvSpPr>
      <xdr:spPr bwMode="auto">
        <a:xfrm>
          <a:off x="9560560" y="10438553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80" name="Text Box 249">
          <a:extLst>
            <a:ext uri="{FF2B5EF4-FFF2-40B4-BE49-F238E27FC236}">
              <a16:creationId xmlns:a16="http://schemas.microsoft.com/office/drawing/2014/main" id="{AC8DAD24-8BA5-4257-8979-35F840A515C5}"/>
            </a:ext>
          </a:extLst>
        </xdr:cNvPr>
        <xdr:cNvSpPr txBox="1">
          <a:spLocks noChangeArrowheads="1"/>
        </xdr:cNvSpPr>
      </xdr:nvSpPr>
      <xdr:spPr bwMode="auto">
        <a:xfrm>
          <a:off x="9563100" y="10438553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81" name="Text Box 249">
          <a:extLst>
            <a:ext uri="{FF2B5EF4-FFF2-40B4-BE49-F238E27FC236}">
              <a16:creationId xmlns:a16="http://schemas.microsoft.com/office/drawing/2014/main" id="{5D7C56DD-F02B-4F0A-A5BA-153E1AEB7B37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2" name="Text Box 249">
          <a:extLst>
            <a:ext uri="{FF2B5EF4-FFF2-40B4-BE49-F238E27FC236}">
              <a16:creationId xmlns:a16="http://schemas.microsoft.com/office/drawing/2014/main" id="{4145486D-4760-4887-A375-A4BD056529C6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3" name="Text Box 249">
          <a:extLst>
            <a:ext uri="{FF2B5EF4-FFF2-40B4-BE49-F238E27FC236}">
              <a16:creationId xmlns:a16="http://schemas.microsoft.com/office/drawing/2014/main" id="{946DA7E7-D5B7-4708-9332-A54513CFF622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4" name="Text Box 249">
          <a:extLst>
            <a:ext uri="{FF2B5EF4-FFF2-40B4-BE49-F238E27FC236}">
              <a16:creationId xmlns:a16="http://schemas.microsoft.com/office/drawing/2014/main" id="{EF80D1E4-0676-4DA9-88B5-B1C9AA1DD54F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5" name="Text Box 249">
          <a:extLst>
            <a:ext uri="{FF2B5EF4-FFF2-40B4-BE49-F238E27FC236}">
              <a16:creationId xmlns:a16="http://schemas.microsoft.com/office/drawing/2014/main" id="{F89F8496-72C9-40E2-86AD-58C8E8F4BF89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6" name="Text Box 249">
          <a:extLst>
            <a:ext uri="{FF2B5EF4-FFF2-40B4-BE49-F238E27FC236}">
              <a16:creationId xmlns:a16="http://schemas.microsoft.com/office/drawing/2014/main" id="{9C0A59F0-A194-4CC9-84D6-F435DB5CC5E5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7" name="Text Box 249">
          <a:extLst>
            <a:ext uri="{FF2B5EF4-FFF2-40B4-BE49-F238E27FC236}">
              <a16:creationId xmlns:a16="http://schemas.microsoft.com/office/drawing/2014/main" id="{DB132E56-D4B3-478A-95FB-564DA9785242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88" name="Text Box 249">
          <a:extLst>
            <a:ext uri="{FF2B5EF4-FFF2-40B4-BE49-F238E27FC236}">
              <a16:creationId xmlns:a16="http://schemas.microsoft.com/office/drawing/2014/main" id="{CDCC53F6-226E-4EDE-B1BF-AA631AB561C7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89" name="Text Box 249">
          <a:extLst>
            <a:ext uri="{FF2B5EF4-FFF2-40B4-BE49-F238E27FC236}">
              <a16:creationId xmlns:a16="http://schemas.microsoft.com/office/drawing/2014/main" id="{4E0D27BC-1F74-42B9-B8EB-8004928E563C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0" name="Text Box 249">
          <a:extLst>
            <a:ext uri="{FF2B5EF4-FFF2-40B4-BE49-F238E27FC236}">
              <a16:creationId xmlns:a16="http://schemas.microsoft.com/office/drawing/2014/main" id="{4BC2EB55-2E6F-4210-9305-F9804869EF71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1" name="Text Box 249">
          <a:extLst>
            <a:ext uri="{FF2B5EF4-FFF2-40B4-BE49-F238E27FC236}">
              <a16:creationId xmlns:a16="http://schemas.microsoft.com/office/drawing/2014/main" id="{F5507E95-2685-4086-9129-4C8FC6D61234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2" name="Text Box 249">
          <a:extLst>
            <a:ext uri="{FF2B5EF4-FFF2-40B4-BE49-F238E27FC236}">
              <a16:creationId xmlns:a16="http://schemas.microsoft.com/office/drawing/2014/main" id="{018FC6D9-60DF-4416-9C00-99DA73A90E75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3" name="Text Box 249">
          <a:extLst>
            <a:ext uri="{FF2B5EF4-FFF2-40B4-BE49-F238E27FC236}">
              <a16:creationId xmlns:a16="http://schemas.microsoft.com/office/drawing/2014/main" id="{296252E0-EA19-4F16-948F-916A1190E19B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4" name="Text Box 249">
          <a:extLst>
            <a:ext uri="{FF2B5EF4-FFF2-40B4-BE49-F238E27FC236}">
              <a16:creationId xmlns:a16="http://schemas.microsoft.com/office/drawing/2014/main" id="{1576AE1E-BA34-421C-9C8F-04128A263E30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5" name="Text Box 249">
          <a:extLst>
            <a:ext uri="{FF2B5EF4-FFF2-40B4-BE49-F238E27FC236}">
              <a16:creationId xmlns:a16="http://schemas.microsoft.com/office/drawing/2014/main" id="{7B77DDBB-70BD-4BE9-BCDF-01702122C929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96" name="Text Box 249">
          <a:extLst>
            <a:ext uri="{FF2B5EF4-FFF2-40B4-BE49-F238E27FC236}">
              <a16:creationId xmlns:a16="http://schemas.microsoft.com/office/drawing/2014/main" id="{ABAB6DC2-F731-4AE6-8B95-4C9992A348EC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97" name="Text Box 249">
          <a:extLst>
            <a:ext uri="{FF2B5EF4-FFF2-40B4-BE49-F238E27FC236}">
              <a16:creationId xmlns:a16="http://schemas.microsoft.com/office/drawing/2014/main" id="{86244EF1-FB8A-4BC3-BF82-A7FFC14604C2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8" name="Text Box 249">
          <a:extLst>
            <a:ext uri="{FF2B5EF4-FFF2-40B4-BE49-F238E27FC236}">
              <a16:creationId xmlns:a16="http://schemas.microsoft.com/office/drawing/2014/main" id="{05738DD7-0029-41E2-8EC6-EF48C7DA4B6A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9" name="Text Box 249">
          <a:extLst>
            <a:ext uri="{FF2B5EF4-FFF2-40B4-BE49-F238E27FC236}">
              <a16:creationId xmlns:a16="http://schemas.microsoft.com/office/drawing/2014/main" id="{6ACE9801-C68F-4822-951F-2B2CAAD10555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0" name="Text Box 249">
          <a:extLst>
            <a:ext uri="{FF2B5EF4-FFF2-40B4-BE49-F238E27FC236}">
              <a16:creationId xmlns:a16="http://schemas.microsoft.com/office/drawing/2014/main" id="{513A90A2-62BC-4308-8F28-5A7D360A4D35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1" name="Text Box 249">
          <a:extLst>
            <a:ext uri="{FF2B5EF4-FFF2-40B4-BE49-F238E27FC236}">
              <a16:creationId xmlns:a16="http://schemas.microsoft.com/office/drawing/2014/main" id="{4DA1CD34-BD0B-44A8-B838-64C17D5AA271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2" name="Text Box 249">
          <a:extLst>
            <a:ext uri="{FF2B5EF4-FFF2-40B4-BE49-F238E27FC236}">
              <a16:creationId xmlns:a16="http://schemas.microsoft.com/office/drawing/2014/main" id="{18BF9F1D-6729-4417-8A11-1CEA796E12D0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3" name="Text Box 249">
          <a:extLst>
            <a:ext uri="{FF2B5EF4-FFF2-40B4-BE49-F238E27FC236}">
              <a16:creationId xmlns:a16="http://schemas.microsoft.com/office/drawing/2014/main" id="{50E44228-9CE7-4013-B6BC-B6CDF68932AE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04" name="Text Box 249">
          <a:extLst>
            <a:ext uri="{FF2B5EF4-FFF2-40B4-BE49-F238E27FC236}">
              <a16:creationId xmlns:a16="http://schemas.microsoft.com/office/drawing/2014/main" id="{06F96CA2-12A7-432C-B7BC-37E92809840F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05" name="Text Box 249">
          <a:extLst>
            <a:ext uri="{FF2B5EF4-FFF2-40B4-BE49-F238E27FC236}">
              <a16:creationId xmlns:a16="http://schemas.microsoft.com/office/drawing/2014/main" id="{7855B265-338C-445D-A1C2-15DE4F357B60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6" name="Text Box 249">
          <a:extLst>
            <a:ext uri="{FF2B5EF4-FFF2-40B4-BE49-F238E27FC236}">
              <a16:creationId xmlns:a16="http://schemas.microsoft.com/office/drawing/2014/main" id="{6F939FC0-6AEA-4673-BDDF-CBA8405F1B90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7" name="Text Box 249">
          <a:extLst>
            <a:ext uri="{FF2B5EF4-FFF2-40B4-BE49-F238E27FC236}">
              <a16:creationId xmlns:a16="http://schemas.microsoft.com/office/drawing/2014/main" id="{9A23004B-C824-4A51-BC7F-14905A898F04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8" name="Text Box 249">
          <a:extLst>
            <a:ext uri="{FF2B5EF4-FFF2-40B4-BE49-F238E27FC236}">
              <a16:creationId xmlns:a16="http://schemas.microsoft.com/office/drawing/2014/main" id="{253964DF-9A56-453E-9394-D9510EB1E8C3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9" name="Text Box 249">
          <a:extLst>
            <a:ext uri="{FF2B5EF4-FFF2-40B4-BE49-F238E27FC236}">
              <a16:creationId xmlns:a16="http://schemas.microsoft.com/office/drawing/2014/main" id="{E03217AD-9917-41CB-B86C-DB19F7F7F5FA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0" name="Text Box 249">
          <a:extLst>
            <a:ext uri="{FF2B5EF4-FFF2-40B4-BE49-F238E27FC236}">
              <a16:creationId xmlns:a16="http://schemas.microsoft.com/office/drawing/2014/main" id="{652F431D-9C84-449C-8FCD-0FF106ECEA07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1" name="Text Box 249">
          <a:extLst>
            <a:ext uri="{FF2B5EF4-FFF2-40B4-BE49-F238E27FC236}">
              <a16:creationId xmlns:a16="http://schemas.microsoft.com/office/drawing/2014/main" id="{2FEEFDF3-ED29-4516-986A-6309900EDC5A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12" name="Text Box 249">
          <a:extLst>
            <a:ext uri="{FF2B5EF4-FFF2-40B4-BE49-F238E27FC236}">
              <a16:creationId xmlns:a16="http://schemas.microsoft.com/office/drawing/2014/main" id="{8C3AB0D3-2A5D-442E-AA51-DD5C21B8609A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13" name="Text Box 249">
          <a:extLst>
            <a:ext uri="{FF2B5EF4-FFF2-40B4-BE49-F238E27FC236}">
              <a16:creationId xmlns:a16="http://schemas.microsoft.com/office/drawing/2014/main" id="{FD751DA1-DA0A-480F-881E-7671564EF3F2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4" name="Text Box 249">
          <a:extLst>
            <a:ext uri="{FF2B5EF4-FFF2-40B4-BE49-F238E27FC236}">
              <a16:creationId xmlns:a16="http://schemas.microsoft.com/office/drawing/2014/main" id="{D16A4A44-5EB0-4842-AD86-7E1CFF70B955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5" name="Text Box 249">
          <a:extLst>
            <a:ext uri="{FF2B5EF4-FFF2-40B4-BE49-F238E27FC236}">
              <a16:creationId xmlns:a16="http://schemas.microsoft.com/office/drawing/2014/main" id="{DA4C7492-7D95-48E7-ACA8-5DC92E067821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6" name="Text Box 249">
          <a:extLst>
            <a:ext uri="{FF2B5EF4-FFF2-40B4-BE49-F238E27FC236}">
              <a16:creationId xmlns:a16="http://schemas.microsoft.com/office/drawing/2014/main" id="{2577A2FF-62E5-4242-97EF-387F8EC75700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7" name="Text Box 249">
          <a:extLst>
            <a:ext uri="{FF2B5EF4-FFF2-40B4-BE49-F238E27FC236}">
              <a16:creationId xmlns:a16="http://schemas.microsoft.com/office/drawing/2014/main" id="{D171C6CB-9A04-43BD-8A9D-25D370915EEC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8" name="Text Box 249">
          <a:extLst>
            <a:ext uri="{FF2B5EF4-FFF2-40B4-BE49-F238E27FC236}">
              <a16:creationId xmlns:a16="http://schemas.microsoft.com/office/drawing/2014/main" id="{6B65B722-7A1D-4CDF-927E-B9961424A619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9" name="Text Box 249">
          <a:extLst>
            <a:ext uri="{FF2B5EF4-FFF2-40B4-BE49-F238E27FC236}">
              <a16:creationId xmlns:a16="http://schemas.microsoft.com/office/drawing/2014/main" id="{1594819E-D467-4EA3-93BA-B0E87C6C7A8B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20" name="Text Box 249">
          <a:extLst>
            <a:ext uri="{FF2B5EF4-FFF2-40B4-BE49-F238E27FC236}">
              <a16:creationId xmlns:a16="http://schemas.microsoft.com/office/drawing/2014/main" id="{1031DBFA-E794-49F4-BCE1-B1B1588B511B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21" name="Text Box 249">
          <a:extLst>
            <a:ext uri="{FF2B5EF4-FFF2-40B4-BE49-F238E27FC236}">
              <a16:creationId xmlns:a16="http://schemas.microsoft.com/office/drawing/2014/main" id="{99A01A25-5965-4184-9052-8F11D93D1386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2" name="Text Box 249">
          <a:extLst>
            <a:ext uri="{FF2B5EF4-FFF2-40B4-BE49-F238E27FC236}">
              <a16:creationId xmlns:a16="http://schemas.microsoft.com/office/drawing/2014/main" id="{DAEDABD7-0E0C-4134-97C7-65C11EF4CD6B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3" name="Text Box 249">
          <a:extLst>
            <a:ext uri="{FF2B5EF4-FFF2-40B4-BE49-F238E27FC236}">
              <a16:creationId xmlns:a16="http://schemas.microsoft.com/office/drawing/2014/main" id="{04EA2E68-F343-4CB1-AEAD-06E430662C52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4" name="Text Box 249">
          <a:extLst>
            <a:ext uri="{FF2B5EF4-FFF2-40B4-BE49-F238E27FC236}">
              <a16:creationId xmlns:a16="http://schemas.microsoft.com/office/drawing/2014/main" id="{2A5C19BF-CFA7-47F2-839F-D2FC0A5D00F7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5" name="Text Box 249">
          <a:extLst>
            <a:ext uri="{FF2B5EF4-FFF2-40B4-BE49-F238E27FC236}">
              <a16:creationId xmlns:a16="http://schemas.microsoft.com/office/drawing/2014/main" id="{8D0E0EBF-CD28-4951-9857-77510422D353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6" name="Text Box 249">
          <a:extLst>
            <a:ext uri="{FF2B5EF4-FFF2-40B4-BE49-F238E27FC236}">
              <a16:creationId xmlns:a16="http://schemas.microsoft.com/office/drawing/2014/main" id="{B145659A-6EA5-40FE-8D79-EDD62A4AC4B5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7" name="Text Box 249">
          <a:extLst>
            <a:ext uri="{FF2B5EF4-FFF2-40B4-BE49-F238E27FC236}">
              <a16:creationId xmlns:a16="http://schemas.microsoft.com/office/drawing/2014/main" id="{C7262275-3760-4B51-82B4-88364AE78940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28" name="Text Box 249">
          <a:extLst>
            <a:ext uri="{FF2B5EF4-FFF2-40B4-BE49-F238E27FC236}">
              <a16:creationId xmlns:a16="http://schemas.microsoft.com/office/drawing/2014/main" id="{9AAC7456-634F-43FE-BFE7-505819A97789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29" name="Text Box 249">
          <a:extLst>
            <a:ext uri="{FF2B5EF4-FFF2-40B4-BE49-F238E27FC236}">
              <a16:creationId xmlns:a16="http://schemas.microsoft.com/office/drawing/2014/main" id="{DFA95324-5794-49B1-B12C-687D3A5D5F4C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0" name="Text Box 249">
          <a:extLst>
            <a:ext uri="{FF2B5EF4-FFF2-40B4-BE49-F238E27FC236}">
              <a16:creationId xmlns:a16="http://schemas.microsoft.com/office/drawing/2014/main" id="{11577F0A-964C-4838-B010-ED82C810ADDE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1" name="Text Box 249">
          <a:extLst>
            <a:ext uri="{FF2B5EF4-FFF2-40B4-BE49-F238E27FC236}">
              <a16:creationId xmlns:a16="http://schemas.microsoft.com/office/drawing/2014/main" id="{81E5CA3C-945B-4089-B0E4-A986541707A4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2" name="Text Box 249">
          <a:extLst>
            <a:ext uri="{FF2B5EF4-FFF2-40B4-BE49-F238E27FC236}">
              <a16:creationId xmlns:a16="http://schemas.microsoft.com/office/drawing/2014/main" id="{6C8377AA-BB24-4EE4-87A3-1BE32480AF48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3" name="Text Box 249">
          <a:extLst>
            <a:ext uri="{FF2B5EF4-FFF2-40B4-BE49-F238E27FC236}">
              <a16:creationId xmlns:a16="http://schemas.microsoft.com/office/drawing/2014/main" id="{2C4ACF9B-E205-423F-986A-4B497B3F8FD8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4" name="Text Box 249">
          <a:extLst>
            <a:ext uri="{FF2B5EF4-FFF2-40B4-BE49-F238E27FC236}">
              <a16:creationId xmlns:a16="http://schemas.microsoft.com/office/drawing/2014/main" id="{5CE98DF1-9AA6-4716-B8DF-39E8C7988ACF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5" name="Text Box 249">
          <a:extLst>
            <a:ext uri="{FF2B5EF4-FFF2-40B4-BE49-F238E27FC236}">
              <a16:creationId xmlns:a16="http://schemas.microsoft.com/office/drawing/2014/main" id="{CB80D3C0-3563-4696-8E1A-31AFE10F0438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36" name="Text Box 249">
          <a:extLst>
            <a:ext uri="{FF2B5EF4-FFF2-40B4-BE49-F238E27FC236}">
              <a16:creationId xmlns:a16="http://schemas.microsoft.com/office/drawing/2014/main" id="{CCBE2136-9BE1-4C69-A658-53A77787C366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37" name="Text Box 249">
          <a:extLst>
            <a:ext uri="{FF2B5EF4-FFF2-40B4-BE49-F238E27FC236}">
              <a16:creationId xmlns:a16="http://schemas.microsoft.com/office/drawing/2014/main" id="{0E663176-4AE7-4A85-A9CE-5E32722C75F5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8" name="Text Box 249">
          <a:extLst>
            <a:ext uri="{FF2B5EF4-FFF2-40B4-BE49-F238E27FC236}">
              <a16:creationId xmlns:a16="http://schemas.microsoft.com/office/drawing/2014/main" id="{84BEB9AB-E210-4A67-B553-E93CFC5AF0E6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9" name="Text Box 249">
          <a:extLst>
            <a:ext uri="{FF2B5EF4-FFF2-40B4-BE49-F238E27FC236}">
              <a16:creationId xmlns:a16="http://schemas.microsoft.com/office/drawing/2014/main" id="{7DE54FE6-8423-415E-A8D1-D0AD45ED31E8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0" name="Text Box 249">
          <a:extLst>
            <a:ext uri="{FF2B5EF4-FFF2-40B4-BE49-F238E27FC236}">
              <a16:creationId xmlns:a16="http://schemas.microsoft.com/office/drawing/2014/main" id="{98900E7E-8DC4-4CDE-A7F1-F299076754EE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1" name="Text Box 249">
          <a:extLst>
            <a:ext uri="{FF2B5EF4-FFF2-40B4-BE49-F238E27FC236}">
              <a16:creationId xmlns:a16="http://schemas.microsoft.com/office/drawing/2014/main" id="{41C3B211-0877-45F1-9F67-7976F1E3B080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2" name="Text Box 249">
          <a:extLst>
            <a:ext uri="{FF2B5EF4-FFF2-40B4-BE49-F238E27FC236}">
              <a16:creationId xmlns:a16="http://schemas.microsoft.com/office/drawing/2014/main" id="{71075F35-C5AB-4564-9DF2-2FDE06B54E40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3" name="Text Box 249">
          <a:extLst>
            <a:ext uri="{FF2B5EF4-FFF2-40B4-BE49-F238E27FC236}">
              <a16:creationId xmlns:a16="http://schemas.microsoft.com/office/drawing/2014/main" id="{7C8DDEC9-E6C7-4136-870E-1D17B5AF6ABB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44" name="Text Box 249">
          <a:extLst>
            <a:ext uri="{FF2B5EF4-FFF2-40B4-BE49-F238E27FC236}">
              <a16:creationId xmlns:a16="http://schemas.microsoft.com/office/drawing/2014/main" id="{C4D8DD58-1EC7-40D6-ABF0-BFFF34167E67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45" name="Text Box 249">
          <a:extLst>
            <a:ext uri="{FF2B5EF4-FFF2-40B4-BE49-F238E27FC236}">
              <a16:creationId xmlns:a16="http://schemas.microsoft.com/office/drawing/2014/main" id="{C591B01F-9323-4269-92FA-0CB0005E5885}"/>
            </a:ext>
          </a:extLst>
        </xdr:cNvPr>
        <xdr:cNvSpPr txBox="1">
          <a:spLocks noChangeArrowheads="1"/>
        </xdr:cNvSpPr>
      </xdr:nvSpPr>
      <xdr:spPr bwMode="auto">
        <a:xfrm>
          <a:off x="9563100" y="1045548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6" name="Text Box 249">
          <a:extLst>
            <a:ext uri="{FF2B5EF4-FFF2-40B4-BE49-F238E27FC236}">
              <a16:creationId xmlns:a16="http://schemas.microsoft.com/office/drawing/2014/main" id="{DAB5F5DC-0CCF-4911-9464-F991A4BB2BF7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7" name="Text Box 249">
          <a:extLst>
            <a:ext uri="{FF2B5EF4-FFF2-40B4-BE49-F238E27FC236}">
              <a16:creationId xmlns:a16="http://schemas.microsoft.com/office/drawing/2014/main" id="{29CF5377-9634-4CA8-A750-206D5B78E86F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8" name="Text Box 249">
          <a:extLst>
            <a:ext uri="{FF2B5EF4-FFF2-40B4-BE49-F238E27FC236}">
              <a16:creationId xmlns:a16="http://schemas.microsoft.com/office/drawing/2014/main" id="{92E2E9A9-C80B-4CFB-9CC2-CFD17F038F38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9" name="Text Box 249">
          <a:extLst>
            <a:ext uri="{FF2B5EF4-FFF2-40B4-BE49-F238E27FC236}">
              <a16:creationId xmlns:a16="http://schemas.microsoft.com/office/drawing/2014/main" id="{E766516F-FFB4-4099-965D-BFB03245713D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0" name="Text Box 249">
          <a:extLst>
            <a:ext uri="{FF2B5EF4-FFF2-40B4-BE49-F238E27FC236}">
              <a16:creationId xmlns:a16="http://schemas.microsoft.com/office/drawing/2014/main" id="{F0963E10-5279-4863-B1F5-889F1DA25CC3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1" name="Text Box 249">
          <a:extLst>
            <a:ext uri="{FF2B5EF4-FFF2-40B4-BE49-F238E27FC236}">
              <a16:creationId xmlns:a16="http://schemas.microsoft.com/office/drawing/2014/main" id="{849EA175-5BCF-4FAD-A284-54ADE48BA072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52" name="Text Box 249">
          <a:extLst>
            <a:ext uri="{FF2B5EF4-FFF2-40B4-BE49-F238E27FC236}">
              <a16:creationId xmlns:a16="http://schemas.microsoft.com/office/drawing/2014/main" id="{E0192D61-7AC3-4553-B63A-F52C655A5107}"/>
            </a:ext>
          </a:extLst>
        </xdr:cNvPr>
        <xdr:cNvSpPr txBox="1">
          <a:spLocks noChangeArrowheads="1"/>
        </xdr:cNvSpPr>
      </xdr:nvSpPr>
      <xdr:spPr bwMode="auto">
        <a:xfrm>
          <a:off x="9563100" y="1045548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53" name="Text Box 249">
          <a:extLst>
            <a:ext uri="{FF2B5EF4-FFF2-40B4-BE49-F238E27FC236}">
              <a16:creationId xmlns:a16="http://schemas.microsoft.com/office/drawing/2014/main" id="{4386FF11-B43F-4B18-89C4-F566928FD313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4" name="Text Box 249">
          <a:extLst>
            <a:ext uri="{FF2B5EF4-FFF2-40B4-BE49-F238E27FC236}">
              <a16:creationId xmlns:a16="http://schemas.microsoft.com/office/drawing/2014/main" id="{1A0AE412-D6BD-4CCC-AC3C-72C738E6902C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5" name="Text Box 249">
          <a:extLst>
            <a:ext uri="{FF2B5EF4-FFF2-40B4-BE49-F238E27FC236}">
              <a16:creationId xmlns:a16="http://schemas.microsoft.com/office/drawing/2014/main" id="{CC069FE8-7B41-49F8-8AE2-3FDEE610BA60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6" name="Text Box 249">
          <a:extLst>
            <a:ext uri="{FF2B5EF4-FFF2-40B4-BE49-F238E27FC236}">
              <a16:creationId xmlns:a16="http://schemas.microsoft.com/office/drawing/2014/main" id="{2D012F04-BFE5-4F1E-B30B-EE96C75166E3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7" name="Text Box 249">
          <a:extLst>
            <a:ext uri="{FF2B5EF4-FFF2-40B4-BE49-F238E27FC236}">
              <a16:creationId xmlns:a16="http://schemas.microsoft.com/office/drawing/2014/main" id="{FCEB485F-8EF8-480E-89D0-BC084F0BE110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8" name="Text Box 249">
          <a:extLst>
            <a:ext uri="{FF2B5EF4-FFF2-40B4-BE49-F238E27FC236}">
              <a16:creationId xmlns:a16="http://schemas.microsoft.com/office/drawing/2014/main" id="{844E76C6-4693-4A74-B2D9-E13AA16ADCD6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9" name="Text Box 249">
          <a:extLst>
            <a:ext uri="{FF2B5EF4-FFF2-40B4-BE49-F238E27FC236}">
              <a16:creationId xmlns:a16="http://schemas.microsoft.com/office/drawing/2014/main" id="{4AF919BE-51A5-43BC-BFB5-FBB8DD97CEFB}"/>
            </a:ext>
          </a:extLst>
        </xdr:cNvPr>
        <xdr:cNvSpPr txBox="1">
          <a:spLocks noChangeArrowheads="1"/>
        </xdr:cNvSpPr>
      </xdr:nvSpPr>
      <xdr:spPr bwMode="auto">
        <a:xfrm>
          <a:off x="9560560" y="1047242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60" name="Text Box 249">
          <a:extLst>
            <a:ext uri="{FF2B5EF4-FFF2-40B4-BE49-F238E27FC236}">
              <a16:creationId xmlns:a16="http://schemas.microsoft.com/office/drawing/2014/main" id="{170B85D2-9705-4C82-89DC-55EFA9CCD1CF}"/>
            </a:ext>
          </a:extLst>
        </xdr:cNvPr>
        <xdr:cNvSpPr txBox="1">
          <a:spLocks noChangeArrowheads="1"/>
        </xdr:cNvSpPr>
      </xdr:nvSpPr>
      <xdr:spPr bwMode="auto">
        <a:xfrm>
          <a:off x="9563100" y="1047242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61" name="Text Box 249">
          <a:extLst>
            <a:ext uri="{FF2B5EF4-FFF2-40B4-BE49-F238E27FC236}">
              <a16:creationId xmlns:a16="http://schemas.microsoft.com/office/drawing/2014/main" id="{E49DA080-28E9-423E-A4F4-E50895201C3C}"/>
            </a:ext>
          </a:extLst>
        </xdr:cNvPr>
        <xdr:cNvSpPr txBox="1">
          <a:spLocks noChangeArrowheads="1"/>
        </xdr:cNvSpPr>
      </xdr:nvSpPr>
      <xdr:spPr bwMode="auto">
        <a:xfrm>
          <a:off x="9563100" y="10455486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2" name="Text Box 249">
          <a:extLst>
            <a:ext uri="{FF2B5EF4-FFF2-40B4-BE49-F238E27FC236}">
              <a16:creationId xmlns:a16="http://schemas.microsoft.com/office/drawing/2014/main" id="{30A92421-B4B7-4A81-91F9-E9BE1CC72000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3" name="Text Box 249">
          <a:extLst>
            <a:ext uri="{FF2B5EF4-FFF2-40B4-BE49-F238E27FC236}">
              <a16:creationId xmlns:a16="http://schemas.microsoft.com/office/drawing/2014/main" id="{77CBEFDB-D18A-4ACC-82E6-DB6E4474BF19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4" name="Text Box 249">
          <a:extLst>
            <a:ext uri="{FF2B5EF4-FFF2-40B4-BE49-F238E27FC236}">
              <a16:creationId xmlns:a16="http://schemas.microsoft.com/office/drawing/2014/main" id="{BD097997-417E-478D-8603-48BEB7664918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5" name="Text Box 249">
          <a:extLst>
            <a:ext uri="{FF2B5EF4-FFF2-40B4-BE49-F238E27FC236}">
              <a16:creationId xmlns:a16="http://schemas.microsoft.com/office/drawing/2014/main" id="{C8F4145B-F7BF-41E2-ABE1-AF9ED1301C43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6" name="Text Box 249">
          <a:extLst>
            <a:ext uri="{FF2B5EF4-FFF2-40B4-BE49-F238E27FC236}">
              <a16:creationId xmlns:a16="http://schemas.microsoft.com/office/drawing/2014/main" id="{BA59EE14-3A40-40C7-BF5F-2A6386056D32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7" name="Text Box 249">
          <a:extLst>
            <a:ext uri="{FF2B5EF4-FFF2-40B4-BE49-F238E27FC236}">
              <a16:creationId xmlns:a16="http://schemas.microsoft.com/office/drawing/2014/main" id="{DA74EB57-F1D2-4274-AC21-8CD9847E0321}"/>
            </a:ext>
          </a:extLst>
        </xdr:cNvPr>
        <xdr:cNvSpPr txBox="1">
          <a:spLocks noChangeArrowheads="1"/>
        </xdr:cNvSpPr>
      </xdr:nvSpPr>
      <xdr:spPr bwMode="auto">
        <a:xfrm>
          <a:off x="9560560" y="10455486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68" name="Text Box 249">
          <a:extLst>
            <a:ext uri="{FF2B5EF4-FFF2-40B4-BE49-F238E27FC236}">
              <a16:creationId xmlns:a16="http://schemas.microsoft.com/office/drawing/2014/main" id="{E1604E6F-8081-474D-99D2-F8992D1D7C40}"/>
            </a:ext>
          </a:extLst>
        </xdr:cNvPr>
        <xdr:cNvSpPr txBox="1">
          <a:spLocks noChangeArrowheads="1"/>
        </xdr:cNvSpPr>
      </xdr:nvSpPr>
      <xdr:spPr bwMode="auto">
        <a:xfrm>
          <a:off x="9563100" y="10455486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567</xdr:row>
      <xdr:rowOff>0</xdr:rowOff>
    </xdr:from>
    <xdr:ext cx="117326" cy="218324"/>
    <xdr:sp macro="" textlink="">
      <xdr:nvSpPr>
        <xdr:cNvPr id="208" name="Text Box 249">
          <a:extLst>
            <a:ext uri="{FF2B5EF4-FFF2-40B4-BE49-F238E27FC236}">
              <a16:creationId xmlns:a16="http://schemas.microsoft.com/office/drawing/2014/main" id="{B6296266-90FC-4C23-9F5B-30B6222CA6E6}"/>
            </a:ext>
          </a:extLst>
        </xdr:cNvPr>
        <xdr:cNvSpPr txBox="1">
          <a:spLocks noChangeArrowheads="1"/>
        </xdr:cNvSpPr>
      </xdr:nvSpPr>
      <xdr:spPr bwMode="auto">
        <a:xfrm>
          <a:off x="9552641" y="11745557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69" name="Text Box 249">
          <a:extLst>
            <a:ext uri="{FF2B5EF4-FFF2-40B4-BE49-F238E27FC236}">
              <a16:creationId xmlns:a16="http://schemas.microsoft.com/office/drawing/2014/main" id="{6D4B329A-945A-4C16-B7E6-CF31E17F5411}"/>
            </a:ext>
          </a:extLst>
        </xdr:cNvPr>
        <xdr:cNvSpPr txBox="1">
          <a:spLocks noChangeArrowheads="1"/>
        </xdr:cNvSpPr>
      </xdr:nvSpPr>
      <xdr:spPr bwMode="auto">
        <a:xfrm>
          <a:off x="9550101" y="117455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70" name="Text Box 249">
          <a:extLst>
            <a:ext uri="{FF2B5EF4-FFF2-40B4-BE49-F238E27FC236}">
              <a16:creationId xmlns:a16="http://schemas.microsoft.com/office/drawing/2014/main" id="{B902291F-78E0-45A9-8E9F-B165B3708B77}"/>
            </a:ext>
          </a:extLst>
        </xdr:cNvPr>
        <xdr:cNvSpPr txBox="1">
          <a:spLocks noChangeArrowheads="1"/>
        </xdr:cNvSpPr>
      </xdr:nvSpPr>
      <xdr:spPr bwMode="auto">
        <a:xfrm>
          <a:off x="9550101" y="117455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71" name="Text Box 249">
          <a:extLst>
            <a:ext uri="{FF2B5EF4-FFF2-40B4-BE49-F238E27FC236}">
              <a16:creationId xmlns:a16="http://schemas.microsoft.com/office/drawing/2014/main" id="{4BCC6AE8-9AFE-4E93-93A8-8973509E9CDC}"/>
            </a:ext>
          </a:extLst>
        </xdr:cNvPr>
        <xdr:cNvSpPr txBox="1">
          <a:spLocks noChangeArrowheads="1"/>
        </xdr:cNvSpPr>
      </xdr:nvSpPr>
      <xdr:spPr bwMode="auto">
        <a:xfrm>
          <a:off x="9550101" y="117455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72" name="Text Box 249">
          <a:extLst>
            <a:ext uri="{FF2B5EF4-FFF2-40B4-BE49-F238E27FC236}">
              <a16:creationId xmlns:a16="http://schemas.microsoft.com/office/drawing/2014/main" id="{1AA8E9E3-DB1E-4F66-B9E2-523C03548C1D}"/>
            </a:ext>
          </a:extLst>
        </xdr:cNvPr>
        <xdr:cNvSpPr txBox="1">
          <a:spLocks noChangeArrowheads="1"/>
        </xdr:cNvSpPr>
      </xdr:nvSpPr>
      <xdr:spPr bwMode="auto">
        <a:xfrm>
          <a:off x="9550101" y="117455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73" name="Text Box 249">
          <a:extLst>
            <a:ext uri="{FF2B5EF4-FFF2-40B4-BE49-F238E27FC236}">
              <a16:creationId xmlns:a16="http://schemas.microsoft.com/office/drawing/2014/main" id="{E2450730-49DB-4A0F-A1B0-6CF0189E0007}"/>
            </a:ext>
          </a:extLst>
        </xdr:cNvPr>
        <xdr:cNvSpPr txBox="1">
          <a:spLocks noChangeArrowheads="1"/>
        </xdr:cNvSpPr>
      </xdr:nvSpPr>
      <xdr:spPr bwMode="auto">
        <a:xfrm>
          <a:off x="9550101" y="117455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74" name="Text Box 249">
          <a:extLst>
            <a:ext uri="{FF2B5EF4-FFF2-40B4-BE49-F238E27FC236}">
              <a16:creationId xmlns:a16="http://schemas.microsoft.com/office/drawing/2014/main" id="{8ADCF6C4-CB4E-4708-9B42-8E91D99F62EF}"/>
            </a:ext>
          </a:extLst>
        </xdr:cNvPr>
        <xdr:cNvSpPr txBox="1">
          <a:spLocks noChangeArrowheads="1"/>
        </xdr:cNvSpPr>
      </xdr:nvSpPr>
      <xdr:spPr bwMode="auto">
        <a:xfrm>
          <a:off x="9550101" y="117455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572</xdr:row>
      <xdr:rowOff>0</xdr:rowOff>
    </xdr:from>
    <xdr:ext cx="117326" cy="218324"/>
    <xdr:sp macro="" textlink="">
      <xdr:nvSpPr>
        <xdr:cNvPr id="675" name="Text Box 249">
          <a:extLst>
            <a:ext uri="{FF2B5EF4-FFF2-40B4-BE49-F238E27FC236}">
              <a16:creationId xmlns:a16="http://schemas.microsoft.com/office/drawing/2014/main" id="{7CEE2538-22F4-4203-A67F-8221E18EA9D6}"/>
            </a:ext>
          </a:extLst>
        </xdr:cNvPr>
        <xdr:cNvSpPr txBox="1">
          <a:spLocks noChangeArrowheads="1"/>
        </xdr:cNvSpPr>
      </xdr:nvSpPr>
      <xdr:spPr bwMode="auto">
        <a:xfrm>
          <a:off x="9552641" y="118307224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76" name="Text Box 249">
          <a:extLst>
            <a:ext uri="{FF2B5EF4-FFF2-40B4-BE49-F238E27FC236}">
              <a16:creationId xmlns:a16="http://schemas.microsoft.com/office/drawing/2014/main" id="{79BDB39C-A42E-4320-B966-8B94FCB68122}"/>
            </a:ext>
          </a:extLst>
        </xdr:cNvPr>
        <xdr:cNvSpPr txBox="1">
          <a:spLocks noChangeArrowheads="1"/>
        </xdr:cNvSpPr>
      </xdr:nvSpPr>
      <xdr:spPr bwMode="auto">
        <a:xfrm>
          <a:off x="9550101" y="1183072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77" name="Text Box 249">
          <a:extLst>
            <a:ext uri="{FF2B5EF4-FFF2-40B4-BE49-F238E27FC236}">
              <a16:creationId xmlns:a16="http://schemas.microsoft.com/office/drawing/2014/main" id="{8DC07956-3FE4-4F8C-A1F5-321478A396A6}"/>
            </a:ext>
          </a:extLst>
        </xdr:cNvPr>
        <xdr:cNvSpPr txBox="1">
          <a:spLocks noChangeArrowheads="1"/>
        </xdr:cNvSpPr>
      </xdr:nvSpPr>
      <xdr:spPr bwMode="auto">
        <a:xfrm>
          <a:off x="9550101" y="1183072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78" name="Text Box 249">
          <a:extLst>
            <a:ext uri="{FF2B5EF4-FFF2-40B4-BE49-F238E27FC236}">
              <a16:creationId xmlns:a16="http://schemas.microsoft.com/office/drawing/2014/main" id="{279B65D7-C382-46D6-9408-6DE0AAC6D9FE}"/>
            </a:ext>
          </a:extLst>
        </xdr:cNvPr>
        <xdr:cNvSpPr txBox="1">
          <a:spLocks noChangeArrowheads="1"/>
        </xdr:cNvSpPr>
      </xdr:nvSpPr>
      <xdr:spPr bwMode="auto">
        <a:xfrm>
          <a:off x="9550101" y="1183072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79" name="Text Box 249">
          <a:extLst>
            <a:ext uri="{FF2B5EF4-FFF2-40B4-BE49-F238E27FC236}">
              <a16:creationId xmlns:a16="http://schemas.microsoft.com/office/drawing/2014/main" id="{3D20F376-86C5-4B1D-85BD-50A5DAB2D9F6}"/>
            </a:ext>
          </a:extLst>
        </xdr:cNvPr>
        <xdr:cNvSpPr txBox="1">
          <a:spLocks noChangeArrowheads="1"/>
        </xdr:cNvSpPr>
      </xdr:nvSpPr>
      <xdr:spPr bwMode="auto">
        <a:xfrm>
          <a:off x="9550101" y="1183072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80" name="Text Box 249">
          <a:extLst>
            <a:ext uri="{FF2B5EF4-FFF2-40B4-BE49-F238E27FC236}">
              <a16:creationId xmlns:a16="http://schemas.microsoft.com/office/drawing/2014/main" id="{FE56776B-7CF9-402B-A79C-881C6D3CAE80}"/>
            </a:ext>
          </a:extLst>
        </xdr:cNvPr>
        <xdr:cNvSpPr txBox="1">
          <a:spLocks noChangeArrowheads="1"/>
        </xdr:cNvSpPr>
      </xdr:nvSpPr>
      <xdr:spPr bwMode="auto">
        <a:xfrm>
          <a:off x="9550101" y="1183072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81" name="Text Box 249">
          <a:extLst>
            <a:ext uri="{FF2B5EF4-FFF2-40B4-BE49-F238E27FC236}">
              <a16:creationId xmlns:a16="http://schemas.microsoft.com/office/drawing/2014/main" id="{952F4B8F-B979-4FEB-BDA2-6547F942BE43}"/>
            </a:ext>
          </a:extLst>
        </xdr:cNvPr>
        <xdr:cNvSpPr txBox="1">
          <a:spLocks noChangeArrowheads="1"/>
        </xdr:cNvSpPr>
      </xdr:nvSpPr>
      <xdr:spPr bwMode="auto">
        <a:xfrm>
          <a:off x="9550101" y="1183072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572</xdr:row>
      <xdr:rowOff>0</xdr:rowOff>
    </xdr:from>
    <xdr:ext cx="104775" cy="210011"/>
    <xdr:sp macro="" textlink="">
      <xdr:nvSpPr>
        <xdr:cNvPr id="682" name="Text Box 249">
          <a:extLst>
            <a:ext uri="{FF2B5EF4-FFF2-40B4-BE49-F238E27FC236}">
              <a16:creationId xmlns:a16="http://schemas.microsoft.com/office/drawing/2014/main" id="{E4D3DBF9-BD41-4AA1-9F91-FF4AB96E10DF}"/>
            </a:ext>
          </a:extLst>
        </xdr:cNvPr>
        <xdr:cNvSpPr txBox="1">
          <a:spLocks noChangeArrowheads="1"/>
        </xdr:cNvSpPr>
      </xdr:nvSpPr>
      <xdr:spPr bwMode="auto">
        <a:xfrm>
          <a:off x="9552641" y="118307224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568</xdr:row>
      <xdr:rowOff>0</xdr:rowOff>
    </xdr:from>
    <xdr:ext cx="117326" cy="218324"/>
    <xdr:sp macro="" textlink="">
      <xdr:nvSpPr>
        <xdr:cNvPr id="683" name="Text Box 249">
          <a:extLst>
            <a:ext uri="{FF2B5EF4-FFF2-40B4-BE49-F238E27FC236}">
              <a16:creationId xmlns:a16="http://schemas.microsoft.com/office/drawing/2014/main" id="{C97F083E-A649-4EB5-BA5B-992AD121B499}"/>
            </a:ext>
          </a:extLst>
        </xdr:cNvPr>
        <xdr:cNvSpPr txBox="1">
          <a:spLocks noChangeArrowheads="1"/>
        </xdr:cNvSpPr>
      </xdr:nvSpPr>
      <xdr:spPr bwMode="auto">
        <a:xfrm>
          <a:off x="9552641" y="11762590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4" name="Text Box 249">
          <a:extLst>
            <a:ext uri="{FF2B5EF4-FFF2-40B4-BE49-F238E27FC236}">
              <a16:creationId xmlns:a16="http://schemas.microsoft.com/office/drawing/2014/main" id="{7C755973-B477-46F9-8E71-FBAC45D99E9A}"/>
            </a:ext>
          </a:extLst>
        </xdr:cNvPr>
        <xdr:cNvSpPr txBox="1">
          <a:spLocks noChangeArrowheads="1"/>
        </xdr:cNvSpPr>
      </xdr:nvSpPr>
      <xdr:spPr bwMode="auto">
        <a:xfrm>
          <a:off x="9550101" y="117625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5" name="Text Box 249">
          <a:extLst>
            <a:ext uri="{FF2B5EF4-FFF2-40B4-BE49-F238E27FC236}">
              <a16:creationId xmlns:a16="http://schemas.microsoft.com/office/drawing/2014/main" id="{309FA553-844E-4268-8B1D-6BA886EF65EB}"/>
            </a:ext>
          </a:extLst>
        </xdr:cNvPr>
        <xdr:cNvSpPr txBox="1">
          <a:spLocks noChangeArrowheads="1"/>
        </xdr:cNvSpPr>
      </xdr:nvSpPr>
      <xdr:spPr bwMode="auto">
        <a:xfrm>
          <a:off x="9550101" y="117625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6" name="Text Box 249">
          <a:extLst>
            <a:ext uri="{FF2B5EF4-FFF2-40B4-BE49-F238E27FC236}">
              <a16:creationId xmlns:a16="http://schemas.microsoft.com/office/drawing/2014/main" id="{CFBE7ECA-3A16-4CEB-B75C-2E8AF547B025}"/>
            </a:ext>
          </a:extLst>
        </xdr:cNvPr>
        <xdr:cNvSpPr txBox="1">
          <a:spLocks noChangeArrowheads="1"/>
        </xdr:cNvSpPr>
      </xdr:nvSpPr>
      <xdr:spPr bwMode="auto">
        <a:xfrm>
          <a:off x="9550101" y="117625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7" name="Text Box 249">
          <a:extLst>
            <a:ext uri="{FF2B5EF4-FFF2-40B4-BE49-F238E27FC236}">
              <a16:creationId xmlns:a16="http://schemas.microsoft.com/office/drawing/2014/main" id="{AFB0740C-EA13-4AD5-88ED-D268C3E961C3}"/>
            </a:ext>
          </a:extLst>
        </xdr:cNvPr>
        <xdr:cNvSpPr txBox="1">
          <a:spLocks noChangeArrowheads="1"/>
        </xdr:cNvSpPr>
      </xdr:nvSpPr>
      <xdr:spPr bwMode="auto">
        <a:xfrm>
          <a:off x="9550101" y="117625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8" name="Text Box 249">
          <a:extLst>
            <a:ext uri="{FF2B5EF4-FFF2-40B4-BE49-F238E27FC236}">
              <a16:creationId xmlns:a16="http://schemas.microsoft.com/office/drawing/2014/main" id="{06937D95-D91E-4234-97FA-2A105B9F97C2}"/>
            </a:ext>
          </a:extLst>
        </xdr:cNvPr>
        <xdr:cNvSpPr txBox="1">
          <a:spLocks noChangeArrowheads="1"/>
        </xdr:cNvSpPr>
      </xdr:nvSpPr>
      <xdr:spPr bwMode="auto">
        <a:xfrm>
          <a:off x="9550101" y="117625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9" name="Text Box 249">
          <a:extLst>
            <a:ext uri="{FF2B5EF4-FFF2-40B4-BE49-F238E27FC236}">
              <a16:creationId xmlns:a16="http://schemas.microsoft.com/office/drawing/2014/main" id="{1F299079-670F-488F-A869-F5ADE0B401EA}"/>
            </a:ext>
          </a:extLst>
        </xdr:cNvPr>
        <xdr:cNvSpPr txBox="1">
          <a:spLocks noChangeArrowheads="1"/>
        </xdr:cNvSpPr>
      </xdr:nvSpPr>
      <xdr:spPr bwMode="auto">
        <a:xfrm>
          <a:off x="9550101" y="117625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568</xdr:row>
      <xdr:rowOff>0</xdr:rowOff>
    </xdr:from>
    <xdr:ext cx="104775" cy="210011"/>
    <xdr:sp macro="" textlink="">
      <xdr:nvSpPr>
        <xdr:cNvPr id="690" name="Text Box 249">
          <a:extLst>
            <a:ext uri="{FF2B5EF4-FFF2-40B4-BE49-F238E27FC236}">
              <a16:creationId xmlns:a16="http://schemas.microsoft.com/office/drawing/2014/main" id="{D9B286B3-2D32-42E0-B0F6-07AB5A6AE3CB}"/>
            </a:ext>
          </a:extLst>
        </xdr:cNvPr>
        <xdr:cNvSpPr txBox="1">
          <a:spLocks noChangeArrowheads="1"/>
        </xdr:cNvSpPr>
      </xdr:nvSpPr>
      <xdr:spPr bwMode="auto">
        <a:xfrm>
          <a:off x="9552641" y="11762590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569</xdr:row>
      <xdr:rowOff>0</xdr:rowOff>
    </xdr:from>
    <xdr:ext cx="117326" cy="218324"/>
    <xdr:sp macro="" textlink="">
      <xdr:nvSpPr>
        <xdr:cNvPr id="691" name="Text Box 249">
          <a:extLst>
            <a:ext uri="{FF2B5EF4-FFF2-40B4-BE49-F238E27FC236}">
              <a16:creationId xmlns:a16="http://schemas.microsoft.com/office/drawing/2014/main" id="{4496FABD-EAAE-4681-98EF-197F746F3290}"/>
            </a:ext>
          </a:extLst>
        </xdr:cNvPr>
        <xdr:cNvSpPr txBox="1">
          <a:spLocks noChangeArrowheads="1"/>
        </xdr:cNvSpPr>
      </xdr:nvSpPr>
      <xdr:spPr bwMode="auto">
        <a:xfrm>
          <a:off x="9552641" y="11779623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2" name="Text Box 249">
          <a:extLst>
            <a:ext uri="{FF2B5EF4-FFF2-40B4-BE49-F238E27FC236}">
              <a16:creationId xmlns:a16="http://schemas.microsoft.com/office/drawing/2014/main" id="{8B10100F-2341-4359-A612-DCA235F9B05E}"/>
            </a:ext>
          </a:extLst>
        </xdr:cNvPr>
        <xdr:cNvSpPr txBox="1">
          <a:spLocks noChangeArrowheads="1"/>
        </xdr:cNvSpPr>
      </xdr:nvSpPr>
      <xdr:spPr bwMode="auto">
        <a:xfrm>
          <a:off x="9550101" y="1177962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3" name="Text Box 249">
          <a:extLst>
            <a:ext uri="{FF2B5EF4-FFF2-40B4-BE49-F238E27FC236}">
              <a16:creationId xmlns:a16="http://schemas.microsoft.com/office/drawing/2014/main" id="{AB553E87-D3C7-42BB-A4B7-904B3E3EEBEA}"/>
            </a:ext>
          </a:extLst>
        </xdr:cNvPr>
        <xdr:cNvSpPr txBox="1">
          <a:spLocks noChangeArrowheads="1"/>
        </xdr:cNvSpPr>
      </xdr:nvSpPr>
      <xdr:spPr bwMode="auto">
        <a:xfrm>
          <a:off x="9550101" y="1177962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4" name="Text Box 249">
          <a:extLst>
            <a:ext uri="{FF2B5EF4-FFF2-40B4-BE49-F238E27FC236}">
              <a16:creationId xmlns:a16="http://schemas.microsoft.com/office/drawing/2014/main" id="{6B3A7E36-BCB8-47A6-A69A-4894D4D28A8C}"/>
            </a:ext>
          </a:extLst>
        </xdr:cNvPr>
        <xdr:cNvSpPr txBox="1">
          <a:spLocks noChangeArrowheads="1"/>
        </xdr:cNvSpPr>
      </xdr:nvSpPr>
      <xdr:spPr bwMode="auto">
        <a:xfrm>
          <a:off x="9550101" y="1177962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5" name="Text Box 249">
          <a:extLst>
            <a:ext uri="{FF2B5EF4-FFF2-40B4-BE49-F238E27FC236}">
              <a16:creationId xmlns:a16="http://schemas.microsoft.com/office/drawing/2014/main" id="{68D39B15-0334-4BD2-807E-37FCEE644439}"/>
            </a:ext>
          </a:extLst>
        </xdr:cNvPr>
        <xdr:cNvSpPr txBox="1">
          <a:spLocks noChangeArrowheads="1"/>
        </xdr:cNvSpPr>
      </xdr:nvSpPr>
      <xdr:spPr bwMode="auto">
        <a:xfrm>
          <a:off x="9550101" y="1177962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6" name="Text Box 249">
          <a:extLst>
            <a:ext uri="{FF2B5EF4-FFF2-40B4-BE49-F238E27FC236}">
              <a16:creationId xmlns:a16="http://schemas.microsoft.com/office/drawing/2014/main" id="{B440FA56-03F8-48DB-BE6C-C70C7D63EF0B}"/>
            </a:ext>
          </a:extLst>
        </xdr:cNvPr>
        <xdr:cNvSpPr txBox="1">
          <a:spLocks noChangeArrowheads="1"/>
        </xdr:cNvSpPr>
      </xdr:nvSpPr>
      <xdr:spPr bwMode="auto">
        <a:xfrm>
          <a:off x="9550101" y="1177962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7" name="Text Box 249">
          <a:extLst>
            <a:ext uri="{FF2B5EF4-FFF2-40B4-BE49-F238E27FC236}">
              <a16:creationId xmlns:a16="http://schemas.microsoft.com/office/drawing/2014/main" id="{8FC93316-3E1E-4C0E-BF9A-33B49064F4A1}"/>
            </a:ext>
          </a:extLst>
        </xdr:cNvPr>
        <xdr:cNvSpPr txBox="1">
          <a:spLocks noChangeArrowheads="1"/>
        </xdr:cNvSpPr>
      </xdr:nvSpPr>
      <xdr:spPr bwMode="auto">
        <a:xfrm>
          <a:off x="9550101" y="1177962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569</xdr:row>
      <xdr:rowOff>0</xdr:rowOff>
    </xdr:from>
    <xdr:ext cx="104775" cy="210011"/>
    <xdr:sp macro="" textlink="">
      <xdr:nvSpPr>
        <xdr:cNvPr id="698" name="Text Box 249">
          <a:extLst>
            <a:ext uri="{FF2B5EF4-FFF2-40B4-BE49-F238E27FC236}">
              <a16:creationId xmlns:a16="http://schemas.microsoft.com/office/drawing/2014/main" id="{943F8CF7-7B0F-4DA2-9091-2FE538ADEBBE}"/>
            </a:ext>
          </a:extLst>
        </xdr:cNvPr>
        <xdr:cNvSpPr txBox="1">
          <a:spLocks noChangeArrowheads="1"/>
        </xdr:cNvSpPr>
      </xdr:nvSpPr>
      <xdr:spPr bwMode="auto">
        <a:xfrm>
          <a:off x="9552641" y="11779623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570</xdr:row>
      <xdr:rowOff>0</xdr:rowOff>
    </xdr:from>
    <xdr:ext cx="117326" cy="218324"/>
    <xdr:sp macro="" textlink="">
      <xdr:nvSpPr>
        <xdr:cNvPr id="699" name="Text Box 249">
          <a:extLst>
            <a:ext uri="{FF2B5EF4-FFF2-40B4-BE49-F238E27FC236}">
              <a16:creationId xmlns:a16="http://schemas.microsoft.com/office/drawing/2014/main" id="{0626AB98-40A1-4EA7-AF0E-4770C818B9B3}"/>
            </a:ext>
          </a:extLst>
        </xdr:cNvPr>
        <xdr:cNvSpPr txBox="1">
          <a:spLocks noChangeArrowheads="1"/>
        </xdr:cNvSpPr>
      </xdr:nvSpPr>
      <xdr:spPr bwMode="auto">
        <a:xfrm>
          <a:off x="9552641" y="11796656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0" name="Text Box 249">
          <a:extLst>
            <a:ext uri="{FF2B5EF4-FFF2-40B4-BE49-F238E27FC236}">
              <a16:creationId xmlns:a16="http://schemas.microsoft.com/office/drawing/2014/main" id="{A544FC53-30AA-4E04-965E-93B4171F5061}"/>
            </a:ext>
          </a:extLst>
        </xdr:cNvPr>
        <xdr:cNvSpPr txBox="1">
          <a:spLocks noChangeArrowheads="1"/>
        </xdr:cNvSpPr>
      </xdr:nvSpPr>
      <xdr:spPr bwMode="auto">
        <a:xfrm>
          <a:off x="9550101" y="117966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1" name="Text Box 249">
          <a:extLst>
            <a:ext uri="{FF2B5EF4-FFF2-40B4-BE49-F238E27FC236}">
              <a16:creationId xmlns:a16="http://schemas.microsoft.com/office/drawing/2014/main" id="{8C7BFDFD-0D5E-4F04-92B9-2598F94FB4B4}"/>
            </a:ext>
          </a:extLst>
        </xdr:cNvPr>
        <xdr:cNvSpPr txBox="1">
          <a:spLocks noChangeArrowheads="1"/>
        </xdr:cNvSpPr>
      </xdr:nvSpPr>
      <xdr:spPr bwMode="auto">
        <a:xfrm>
          <a:off x="9550101" y="117966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2" name="Text Box 249">
          <a:extLst>
            <a:ext uri="{FF2B5EF4-FFF2-40B4-BE49-F238E27FC236}">
              <a16:creationId xmlns:a16="http://schemas.microsoft.com/office/drawing/2014/main" id="{C54F0899-FA9D-4CC5-92F9-DA05DFDC0453}"/>
            </a:ext>
          </a:extLst>
        </xdr:cNvPr>
        <xdr:cNvSpPr txBox="1">
          <a:spLocks noChangeArrowheads="1"/>
        </xdr:cNvSpPr>
      </xdr:nvSpPr>
      <xdr:spPr bwMode="auto">
        <a:xfrm>
          <a:off x="9550101" y="117966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3" name="Text Box 249">
          <a:extLst>
            <a:ext uri="{FF2B5EF4-FFF2-40B4-BE49-F238E27FC236}">
              <a16:creationId xmlns:a16="http://schemas.microsoft.com/office/drawing/2014/main" id="{A53BF70D-5CC7-4348-B11B-C84CCBE62B58}"/>
            </a:ext>
          </a:extLst>
        </xdr:cNvPr>
        <xdr:cNvSpPr txBox="1">
          <a:spLocks noChangeArrowheads="1"/>
        </xdr:cNvSpPr>
      </xdr:nvSpPr>
      <xdr:spPr bwMode="auto">
        <a:xfrm>
          <a:off x="9550101" y="117966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4" name="Text Box 249">
          <a:extLst>
            <a:ext uri="{FF2B5EF4-FFF2-40B4-BE49-F238E27FC236}">
              <a16:creationId xmlns:a16="http://schemas.microsoft.com/office/drawing/2014/main" id="{F5B5C22F-A760-43D5-B68C-E12B2D9BD839}"/>
            </a:ext>
          </a:extLst>
        </xdr:cNvPr>
        <xdr:cNvSpPr txBox="1">
          <a:spLocks noChangeArrowheads="1"/>
        </xdr:cNvSpPr>
      </xdr:nvSpPr>
      <xdr:spPr bwMode="auto">
        <a:xfrm>
          <a:off x="9550101" y="117966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5" name="Text Box 249">
          <a:extLst>
            <a:ext uri="{FF2B5EF4-FFF2-40B4-BE49-F238E27FC236}">
              <a16:creationId xmlns:a16="http://schemas.microsoft.com/office/drawing/2014/main" id="{49FA3938-8C52-4CA3-8E02-CB5503D6125C}"/>
            </a:ext>
          </a:extLst>
        </xdr:cNvPr>
        <xdr:cNvSpPr txBox="1">
          <a:spLocks noChangeArrowheads="1"/>
        </xdr:cNvSpPr>
      </xdr:nvSpPr>
      <xdr:spPr bwMode="auto">
        <a:xfrm>
          <a:off x="9550101" y="117966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570</xdr:row>
      <xdr:rowOff>0</xdr:rowOff>
    </xdr:from>
    <xdr:ext cx="104775" cy="210011"/>
    <xdr:sp macro="" textlink="">
      <xdr:nvSpPr>
        <xdr:cNvPr id="706" name="Text Box 249">
          <a:extLst>
            <a:ext uri="{FF2B5EF4-FFF2-40B4-BE49-F238E27FC236}">
              <a16:creationId xmlns:a16="http://schemas.microsoft.com/office/drawing/2014/main" id="{937C68D2-93A8-40F2-8DC1-2E7E5A8EDD2D}"/>
            </a:ext>
          </a:extLst>
        </xdr:cNvPr>
        <xdr:cNvSpPr txBox="1">
          <a:spLocks noChangeArrowheads="1"/>
        </xdr:cNvSpPr>
      </xdr:nvSpPr>
      <xdr:spPr bwMode="auto">
        <a:xfrm>
          <a:off x="9552641" y="11796656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573</xdr:row>
      <xdr:rowOff>0</xdr:rowOff>
    </xdr:from>
    <xdr:ext cx="117326" cy="218324"/>
    <xdr:sp macro="" textlink="">
      <xdr:nvSpPr>
        <xdr:cNvPr id="707" name="Text Box 249">
          <a:extLst>
            <a:ext uri="{FF2B5EF4-FFF2-40B4-BE49-F238E27FC236}">
              <a16:creationId xmlns:a16="http://schemas.microsoft.com/office/drawing/2014/main" id="{724CFDE9-EB2C-4764-B26F-8FC30666941F}"/>
            </a:ext>
          </a:extLst>
        </xdr:cNvPr>
        <xdr:cNvSpPr txBox="1">
          <a:spLocks noChangeArrowheads="1"/>
        </xdr:cNvSpPr>
      </xdr:nvSpPr>
      <xdr:spPr bwMode="auto">
        <a:xfrm>
          <a:off x="9552641" y="11847755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08" name="Text Box 249">
          <a:extLst>
            <a:ext uri="{FF2B5EF4-FFF2-40B4-BE49-F238E27FC236}">
              <a16:creationId xmlns:a16="http://schemas.microsoft.com/office/drawing/2014/main" id="{9088B4AD-38F9-4A3D-B73D-ECFC8FB4CCAA}"/>
            </a:ext>
          </a:extLst>
        </xdr:cNvPr>
        <xdr:cNvSpPr txBox="1">
          <a:spLocks noChangeArrowheads="1"/>
        </xdr:cNvSpPr>
      </xdr:nvSpPr>
      <xdr:spPr bwMode="auto">
        <a:xfrm>
          <a:off x="9550101" y="1184775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09" name="Text Box 249">
          <a:extLst>
            <a:ext uri="{FF2B5EF4-FFF2-40B4-BE49-F238E27FC236}">
              <a16:creationId xmlns:a16="http://schemas.microsoft.com/office/drawing/2014/main" id="{132D1ED6-B4BD-44D1-8BDF-813176E4CCAE}"/>
            </a:ext>
          </a:extLst>
        </xdr:cNvPr>
        <xdr:cNvSpPr txBox="1">
          <a:spLocks noChangeArrowheads="1"/>
        </xdr:cNvSpPr>
      </xdr:nvSpPr>
      <xdr:spPr bwMode="auto">
        <a:xfrm>
          <a:off x="9550101" y="1184775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10" name="Text Box 249">
          <a:extLst>
            <a:ext uri="{FF2B5EF4-FFF2-40B4-BE49-F238E27FC236}">
              <a16:creationId xmlns:a16="http://schemas.microsoft.com/office/drawing/2014/main" id="{2E6BF684-6D95-4A01-A614-F294437A4023}"/>
            </a:ext>
          </a:extLst>
        </xdr:cNvPr>
        <xdr:cNvSpPr txBox="1">
          <a:spLocks noChangeArrowheads="1"/>
        </xdr:cNvSpPr>
      </xdr:nvSpPr>
      <xdr:spPr bwMode="auto">
        <a:xfrm>
          <a:off x="9550101" y="1184775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11" name="Text Box 249">
          <a:extLst>
            <a:ext uri="{FF2B5EF4-FFF2-40B4-BE49-F238E27FC236}">
              <a16:creationId xmlns:a16="http://schemas.microsoft.com/office/drawing/2014/main" id="{6E957D8C-B144-41D5-964B-EBAEA23A48CC}"/>
            </a:ext>
          </a:extLst>
        </xdr:cNvPr>
        <xdr:cNvSpPr txBox="1">
          <a:spLocks noChangeArrowheads="1"/>
        </xdr:cNvSpPr>
      </xdr:nvSpPr>
      <xdr:spPr bwMode="auto">
        <a:xfrm>
          <a:off x="9550101" y="1184775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12" name="Text Box 249">
          <a:extLst>
            <a:ext uri="{FF2B5EF4-FFF2-40B4-BE49-F238E27FC236}">
              <a16:creationId xmlns:a16="http://schemas.microsoft.com/office/drawing/2014/main" id="{D77B9CE4-FBAF-454A-A53B-5BCF194B03DD}"/>
            </a:ext>
          </a:extLst>
        </xdr:cNvPr>
        <xdr:cNvSpPr txBox="1">
          <a:spLocks noChangeArrowheads="1"/>
        </xdr:cNvSpPr>
      </xdr:nvSpPr>
      <xdr:spPr bwMode="auto">
        <a:xfrm>
          <a:off x="9550101" y="1184775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13" name="Text Box 249">
          <a:extLst>
            <a:ext uri="{FF2B5EF4-FFF2-40B4-BE49-F238E27FC236}">
              <a16:creationId xmlns:a16="http://schemas.microsoft.com/office/drawing/2014/main" id="{1DB2183F-875B-4320-988C-A8E1F5863B5C}"/>
            </a:ext>
          </a:extLst>
        </xdr:cNvPr>
        <xdr:cNvSpPr txBox="1">
          <a:spLocks noChangeArrowheads="1"/>
        </xdr:cNvSpPr>
      </xdr:nvSpPr>
      <xdr:spPr bwMode="auto">
        <a:xfrm>
          <a:off x="9550101" y="1184775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573</xdr:row>
      <xdr:rowOff>0</xdr:rowOff>
    </xdr:from>
    <xdr:ext cx="104775" cy="210011"/>
    <xdr:sp macro="" textlink="">
      <xdr:nvSpPr>
        <xdr:cNvPr id="714" name="Text Box 249">
          <a:extLst>
            <a:ext uri="{FF2B5EF4-FFF2-40B4-BE49-F238E27FC236}">
              <a16:creationId xmlns:a16="http://schemas.microsoft.com/office/drawing/2014/main" id="{A513FD0B-38DD-4D4C-97E6-992E08B60220}"/>
            </a:ext>
          </a:extLst>
        </xdr:cNvPr>
        <xdr:cNvSpPr txBox="1">
          <a:spLocks noChangeArrowheads="1"/>
        </xdr:cNvSpPr>
      </xdr:nvSpPr>
      <xdr:spPr bwMode="auto">
        <a:xfrm>
          <a:off x="9552641" y="118477553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574</xdr:row>
      <xdr:rowOff>0</xdr:rowOff>
    </xdr:from>
    <xdr:ext cx="117326" cy="218324"/>
    <xdr:sp macro="" textlink="">
      <xdr:nvSpPr>
        <xdr:cNvPr id="715" name="Text Box 249">
          <a:extLst>
            <a:ext uri="{FF2B5EF4-FFF2-40B4-BE49-F238E27FC236}">
              <a16:creationId xmlns:a16="http://schemas.microsoft.com/office/drawing/2014/main" id="{8012E31A-C944-467C-9510-89D37F768F97}"/>
            </a:ext>
          </a:extLst>
        </xdr:cNvPr>
        <xdr:cNvSpPr txBox="1">
          <a:spLocks noChangeArrowheads="1"/>
        </xdr:cNvSpPr>
      </xdr:nvSpPr>
      <xdr:spPr bwMode="auto">
        <a:xfrm>
          <a:off x="9552641" y="11864788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16" name="Text Box 249">
          <a:extLst>
            <a:ext uri="{FF2B5EF4-FFF2-40B4-BE49-F238E27FC236}">
              <a16:creationId xmlns:a16="http://schemas.microsoft.com/office/drawing/2014/main" id="{5C35367A-3B80-4206-A8A4-12CB2DBAB751}"/>
            </a:ext>
          </a:extLst>
        </xdr:cNvPr>
        <xdr:cNvSpPr txBox="1">
          <a:spLocks noChangeArrowheads="1"/>
        </xdr:cNvSpPr>
      </xdr:nvSpPr>
      <xdr:spPr bwMode="auto">
        <a:xfrm>
          <a:off x="9550101" y="1186478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17" name="Text Box 249">
          <a:extLst>
            <a:ext uri="{FF2B5EF4-FFF2-40B4-BE49-F238E27FC236}">
              <a16:creationId xmlns:a16="http://schemas.microsoft.com/office/drawing/2014/main" id="{1BF9CCB3-4849-4CDB-AFF3-E481ED5B5F25}"/>
            </a:ext>
          </a:extLst>
        </xdr:cNvPr>
        <xdr:cNvSpPr txBox="1">
          <a:spLocks noChangeArrowheads="1"/>
        </xdr:cNvSpPr>
      </xdr:nvSpPr>
      <xdr:spPr bwMode="auto">
        <a:xfrm>
          <a:off x="9550101" y="1186478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18" name="Text Box 249">
          <a:extLst>
            <a:ext uri="{FF2B5EF4-FFF2-40B4-BE49-F238E27FC236}">
              <a16:creationId xmlns:a16="http://schemas.microsoft.com/office/drawing/2014/main" id="{F292B121-019C-4347-8025-A3C5190A4706}"/>
            </a:ext>
          </a:extLst>
        </xdr:cNvPr>
        <xdr:cNvSpPr txBox="1">
          <a:spLocks noChangeArrowheads="1"/>
        </xdr:cNvSpPr>
      </xdr:nvSpPr>
      <xdr:spPr bwMode="auto">
        <a:xfrm>
          <a:off x="9550101" y="1186478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19" name="Text Box 249">
          <a:extLst>
            <a:ext uri="{FF2B5EF4-FFF2-40B4-BE49-F238E27FC236}">
              <a16:creationId xmlns:a16="http://schemas.microsoft.com/office/drawing/2014/main" id="{EA38FFB6-79DD-4402-BDC3-FE9BA2BFD685}"/>
            </a:ext>
          </a:extLst>
        </xdr:cNvPr>
        <xdr:cNvSpPr txBox="1">
          <a:spLocks noChangeArrowheads="1"/>
        </xdr:cNvSpPr>
      </xdr:nvSpPr>
      <xdr:spPr bwMode="auto">
        <a:xfrm>
          <a:off x="9550101" y="1186478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20" name="Text Box 249">
          <a:extLst>
            <a:ext uri="{FF2B5EF4-FFF2-40B4-BE49-F238E27FC236}">
              <a16:creationId xmlns:a16="http://schemas.microsoft.com/office/drawing/2014/main" id="{A1FBD86D-3DCB-4FD9-B5B6-2914EAD8A123}"/>
            </a:ext>
          </a:extLst>
        </xdr:cNvPr>
        <xdr:cNvSpPr txBox="1">
          <a:spLocks noChangeArrowheads="1"/>
        </xdr:cNvSpPr>
      </xdr:nvSpPr>
      <xdr:spPr bwMode="auto">
        <a:xfrm>
          <a:off x="9550101" y="1186478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21" name="Text Box 249">
          <a:extLst>
            <a:ext uri="{FF2B5EF4-FFF2-40B4-BE49-F238E27FC236}">
              <a16:creationId xmlns:a16="http://schemas.microsoft.com/office/drawing/2014/main" id="{DE8E1641-E3F3-4FE4-97A7-81CECB45C565}"/>
            </a:ext>
          </a:extLst>
        </xdr:cNvPr>
        <xdr:cNvSpPr txBox="1">
          <a:spLocks noChangeArrowheads="1"/>
        </xdr:cNvSpPr>
      </xdr:nvSpPr>
      <xdr:spPr bwMode="auto">
        <a:xfrm>
          <a:off x="9550101" y="1186478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574</xdr:row>
      <xdr:rowOff>0</xdr:rowOff>
    </xdr:from>
    <xdr:ext cx="104775" cy="210011"/>
    <xdr:sp macro="" textlink="">
      <xdr:nvSpPr>
        <xdr:cNvPr id="722" name="Text Box 249">
          <a:extLst>
            <a:ext uri="{FF2B5EF4-FFF2-40B4-BE49-F238E27FC236}">
              <a16:creationId xmlns:a16="http://schemas.microsoft.com/office/drawing/2014/main" id="{5319D0C2-AD03-4216-B1B0-A535A04DC08C}"/>
            </a:ext>
          </a:extLst>
        </xdr:cNvPr>
        <xdr:cNvSpPr txBox="1">
          <a:spLocks noChangeArrowheads="1"/>
        </xdr:cNvSpPr>
      </xdr:nvSpPr>
      <xdr:spPr bwMode="auto">
        <a:xfrm>
          <a:off x="9552641" y="11864788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575</xdr:row>
      <xdr:rowOff>0</xdr:rowOff>
    </xdr:from>
    <xdr:ext cx="117326" cy="218324"/>
    <xdr:sp macro="" textlink="">
      <xdr:nvSpPr>
        <xdr:cNvPr id="723" name="Text Box 249">
          <a:extLst>
            <a:ext uri="{FF2B5EF4-FFF2-40B4-BE49-F238E27FC236}">
              <a16:creationId xmlns:a16="http://schemas.microsoft.com/office/drawing/2014/main" id="{E195B8AF-B73F-4327-9E46-D17B11697EF8}"/>
            </a:ext>
          </a:extLst>
        </xdr:cNvPr>
        <xdr:cNvSpPr txBox="1">
          <a:spLocks noChangeArrowheads="1"/>
        </xdr:cNvSpPr>
      </xdr:nvSpPr>
      <xdr:spPr bwMode="auto">
        <a:xfrm>
          <a:off x="9552641" y="11881821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4" name="Text Box 249">
          <a:extLst>
            <a:ext uri="{FF2B5EF4-FFF2-40B4-BE49-F238E27FC236}">
              <a16:creationId xmlns:a16="http://schemas.microsoft.com/office/drawing/2014/main" id="{1775337D-1EFE-4ED8-BD7D-35F43CAE989F}"/>
            </a:ext>
          </a:extLst>
        </xdr:cNvPr>
        <xdr:cNvSpPr txBox="1">
          <a:spLocks noChangeArrowheads="1"/>
        </xdr:cNvSpPr>
      </xdr:nvSpPr>
      <xdr:spPr bwMode="auto">
        <a:xfrm>
          <a:off x="9550101" y="1188182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5" name="Text Box 249">
          <a:extLst>
            <a:ext uri="{FF2B5EF4-FFF2-40B4-BE49-F238E27FC236}">
              <a16:creationId xmlns:a16="http://schemas.microsoft.com/office/drawing/2014/main" id="{495B1CFF-77AA-4844-B204-392DBCD611A3}"/>
            </a:ext>
          </a:extLst>
        </xdr:cNvPr>
        <xdr:cNvSpPr txBox="1">
          <a:spLocks noChangeArrowheads="1"/>
        </xdr:cNvSpPr>
      </xdr:nvSpPr>
      <xdr:spPr bwMode="auto">
        <a:xfrm>
          <a:off x="9550101" y="1188182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6" name="Text Box 249">
          <a:extLst>
            <a:ext uri="{FF2B5EF4-FFF2-40B4-BE49-F238E27FC236}">
              <a16:creationId xmlns:a16="http://schemas.microsoft.com/office/drawing/2014/main" id="{1ABC3F9B-9D93-4630-8CEF-AF078BA6D02E}"/>
            </a:ext>
          </a:extLst>
        </xdr:cNvPr>
        <xdr:cNvSpPr txBox="1">
          <a:spLocks noChangeArrowheads="1"/>
        </xdr:cNvSpPr>
      </xdr:nvSpPr>
      <xdr:spPr bwMode="auto">
        <a:xfrm>
          <a:off x="9550101" y="1188182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7" name="Text Box 249">
          <a:extLst>
            <a:ext uri="{FF2B5EF4-FFF2-40B4-BE49-F238E27FC236}">
              <a16:creationId xmlns:a16="http://schemas.microsoft.com/office/drawing/2014/main" id="{383C7633-98F2-4E96-843E-AD164472145C}"/>
            </a:ext>
          </a:extLst>
        </xdr:cNvPr>
        <xdr:cNvSpPr txBox="1">
          <a:spLocks noChangeArrowheads="1"/>
        </xdr:cNvSpPr>
      </xdr:nvSpPr>
      <xdr:spPr bwMode="auto">
        <a:xfrm>
          <a:off x="9550101" y="1188182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8" name="Text Box 249">
          <a:extLst>
            <a:ext uri="{FF2B5EF4-FFF2-40B4-BE49-F238E27FC236}">
              <a16:creationId xmlns:a16="http://schemas.microsoft.com/office/drawing/2014/main" id="{E1C957AD-8687-45FF-967C-D4DD6601C574}"/>
            </a:ext>
          </a:extLst>
        </xdr:cNvPr>
        <xdr:cNvSpPr txBox="1">
          <a:spLocks noChangeArrowheads="1"/>
        </xdr:cNvSpPr>
      </xdr:nvSpPr>
      <xdr:spPr bwMode="auto">
        <a:xfrm>
          <a:off x="9550101" y="1188182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9" name="Text Box 249">
          <a:extLst>
            <a:ext uri="{FF2B5EF4-FFF2-40B4-BE49-F238E27FC236}">
              <a16:creationId xmlns:a16="http://schemas.microsoft.com/office/drawing/2014/main" id="{08712372-D5F7-4494-8D6C-E54A517E08B8}"/>
            </a:ext>
          </a:extLst>
        </xdr:cNvPr>
        <xdr:cNvSpPr txBox="1">
          <a:spLocks noChangeArrowheads="1"/>
        </xdr:cNvSpPr>
      </xdr:nvSpPr>
      <xdr:spPr bwMode="auto">
        <a:xfrm>
          <a:off x="9550101" y="1188182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575</xdr:row>
      <xdr:rowOff>0</xdr:rowOff>
    </xdr:from>
    <xdr:ext cx="104775" cy="210011"/>
    <xdr:sp macro="" textlink="">
      <xdr:nvSpPr>
        <xdr:cNvPr id="730" name="Text Box 249">
          <a:extLst>
            <a:ext uri="{FF2B5EF4-FFF2-40B4-BE49-F238E27FC236}">
              <a16:creationId xmlns:a16="http://schemas.microsoft.com/office/drawing/2014/main" id="{6EF71879-4364-4A95-B21E-6E9914686640}"/>
            </a:ext>
          </a:extLst>
        </xdr:cNvPr>
        <xdr:cNvSpPr txBox="1">
          <a:spLocks noChangeArrowheads="1"/>
        </xdr:cNvSpPr>
      </xdr:nvSpPr>
      <xdr:spPr bwMode="auto">
        <a:xfrm>
          <a:off x="9552641" y="11881821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31" name="Text Box 249">
          <a:extLst>
            <a:ext uri="{FF2B5EF4-FFF2-40B4-BE49-F238E27FC236}">
              <a16:creationId xmlns:a16="http://schemas.microsoft.com/office/drawing/2014/main" id="{E86948A2-98B4-40F4-B618-967FDFB2B846}"/>
            </a:ext>
          </a:extLst>
        </xdr:cNvPr>
        <xdr:cNvSpPr txBox="1">
          <a:spLocks noChangeArrowheads="1"/>
        </xdr:cNvSpPr>
      </xdr:nvSpPr>
      <xdr:spPr bwMode="auto">
        <a:xfrm>
          <a:off x="9552641" y="96074753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2" name="Text Box 249">
          <a:extLst>
            <a:ext uri="{FF2B5EF4-FFF2-40B4-BE49-F238E27FC236}">
              <a16:creationId xmlns:a16="http://schemas.microsoft.com/office/drawing/2014/main" id="{100D4A1F-377F-41A6-827D-71EBF16F4C6F}"/>
            </a:ext>
          </a:extLst>
        </xdr:cNvPr>
        <xdr:cNvSpPr txBox="1">
          <a:spLocks noChangeArrowheads="1"/>
        </xdr:cNvSpPr>
      </xdr:nvSpPr>
      <xdr:spPr bwMode="auto">
        <a:xfrm>
          <a:off x="9550101" y="960747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3" name="Text Box 249">
          <a:extLst>
            <a:ext uri="{FF2B5EF4-FFF2-40B4-BE49-F238E27FC236}">
              <a16:creationId xmlns:a16="http://schemas.microsoft.com/office/drawing/2014/main" id="{61DF3EBD-4628-4B66-B26B-37160AABC74A}"/>
            </a:ext>
          </a:extLst>
        </xdr:cNvPr>
        <xdr:cNvSpPr txBox="1">
          <a:spLocks noChangeArrowheads="1"/>
        </xdr:cNvSpPr>
      </xdr:nvSpPr>
      <xdr:spPr bwMode="auto">
        <a:xfrm>
          <a:off x="9550101" y="960747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4" name="Text Box 249">
          <a:extLst>
            <a:ext uri="{FF2B5EF4-FFF2-40B4-BE49-F238E27FC236}">
              <a16:creationId xmlns:a16="http://schemas.microsoft.com/office/drawing/2014/main" id="{74723DD4-5327-4A4C-8522-F1000F7B4147}"/>
            </a:ext>
          </a:extLst>
        </xdr:cNvPr>
        <xdr:cNvSpPr txBox="1">
          <a:spLocks noChangeArrowheads="1"/>
        </xdr:cNvSpPr>
      </xdr:nvSpPr>
      <xdr:spPr bwMode="auto">
        <a:xfrm>
          <a:off x="9550101" y="960747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5" name="Text Box 249">
          <a:extLst>
            <a:ext uri="{FF2B5EF4-FFF2-40B4-BE49-F238E27FC236}">
              <a16:creationId xmlns:a16="http://schemas.microsoft.com/office/drawing/2014/main" id="{C6841DA3-B364-4A8C-A7EF-6ED2F432F803}"/>
            </a:ext>
          </a:extLst>
        </xdr:cNvPr>
        <xdr:cNvSpPr txBox="1">
          <a:spLocks noChangeArrowheads="1"/>
        </xdr:cNvSpPr>
      </xdr:nvSpPr>
      <xdr:spPr bwMode="auto">
        <a:xfrm>
          <a:off x="9550101" y="960747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6" name="Text Box 249">
          <a:extLst>
            <a:ext uri="{FF2B5EF4-FFF2-40B4-BE49-F238E27FC236}">
              <a16:creationId xmlns:a16="http://schemas.microsoft.com/office/drawing/2014/main" id="{CCABA360-BAAC-4BF7-A236-F962695317A9}"/>
            </a:ext>
          </a:extLst>
        </xdr:cNvPr>
        <xdr:cNvSpPr txBox="1">
          <a:spLocks noChangeArrowheads="1"/>
        </xdr:cNvSpPr>
      </xdr:nvSpPr>
      <xdr:spPr bwMode="auto">
        <a:xfrm>
          <a:off x="9550101" y="960747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7" name="Text Box 249">
          <a:extLst>
            <a:ext uri="{FF2B5EF4-FFF2-40B4-BE49-F238E27FC236}">
              <a16:creationId xmlns:a16="http://schemas.microsoft.com/office/drawing/2014/main" id="{5DC24B87-A8AF-47BE-9F81-B2CB45A17B98}"/>
            </a:ext>
          </a:extLst>
        </xdr:cNvPr>
        <xdr:cNvSpPr txBox="1">
          <a:spLocks noChangeArrowheads="1"/>
        </xdr:cNvSpPr>
      </xdr:nvSpPr>
      <xdr:spPr bwMode="auto">
        <a:xfrm>
          <a:off x="9550101" y="96074753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38" name="Text Box 249">
          <a:extLst>
            <a:ext uri="{FF2B5EF4-FFF2-40B4-BE49-F238E27FC236}">
              <a16:creationId xmlns:a16="http://schemas.microsoft.com/office/drawing/2014/main" id="{5DE441F6-CD67-4490-B8BB-BCAC9E6913B5}"/>
            </a:ext>
          </a:extLst>
        </xdr:cNvPr>
        <xdr:cNvSpPr txBox="1">
          <a:spLocks noChangeArrowheads="1"/>
        </xdr:cNvSpPr>
      </xdr:nvSpPr>
      <xdr:spPr bwMode="auto">
        <a:xfrm>
          <a:off x="9552641" y="969264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9" name="Text Box 249">
          <a:extLst>
            <a:ext uri="{FF2B5EF4-FFF2-40B4-BE49-F238E27FC236}">
              <a16:creationId xmlns:a16="http://schemas.microsoft.com/office/drawing/2014/main" id="{3E1054EC-8CD7-4367-991D-3D6B3862219C}"/>
            </a:ext>
          </a:extLst>
        </xdr:cNvPr>
        <xdr:cNvSpPr txBox="1">
          <a:spLocks noChangeArrowheads="1"/>
        </xdr:cNvSpPr>
      </xdr:nvSpPr>
      <xdr:spPr bwMode="auto">
        <a:xfrm>
          <a:off x="9550101" y="96926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0" name="Text Box 249">
          <a:extLst>
            <a:ext uri="{FF2B5EF4-FFF2-40B4-BE49-F238E27FC236}">
              <a16:creationId xmlns:a16="http://schemas.microsoft.com/office/drawing/2014/main" id="{2FD223D8-2664-4235-9A89-DF85714B911A}"/>
            </a:ext>
          </a:extLst>
        </xdr:cNvPr>
        <xdr:cNvSpPr txBox="1">
          <a:spLocks noChangeArrowheads="1"/>
        </xdr:cNvSpPr>
      </xdr:nvSpPr>
      <xdr:spPr bwMode="auto">
        <a:xfrm>
          <a:off x="9550101" y="96926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1" name="Text Box 249">
          <a:extLst>
            <a:ext uri="{FF2B5EF4-FFF2-40B4-BE49-F238E27FC236}">
              <a16:creationId xmlns:a16="http://schemas.microsoft.com/office/drawing/2014/main" id="{A0833093-D9C9-4D05-BF6F-AB50DF77524C}"/>
            </a:ext>
          </a:extLst>
        </xdr:cNvPr>
        <xdr:cNvSpPr txBox="1">
          <a:spLocks noChangeArrowheads="1"/>
        </xdr:cNvSpPr>
      </xdr:nvSpPr>
      <xdr:spPr bwMode="auto">
        <a:xfrm>
          <a:off x="9550101" y="96926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2" name="Text Box 249">
          <a:extLst>
            <a:ext uri="{FF2B5EF4-FFF2-40B4-BE49-F238E27FC236}">
              <a16:creationId xmlns:a16="http://schemas.microsoft.com/office/drawing/2014/main" id="{63629C1E-3169-4E4F-97AD-ADF83062DB7F}"/>
            </a:ext>
          </a:extLst>
        </xdr:cNvPr>
        <xdr:cNvSpPr txBox="1">
          <a:spLocks noChangeArrowheads="1"/>
        </xdr:cNvSpPr>
      </xdr:nvSpPr>
      <xdr:spPr bwMode="auto">
        <a:xfrm>
          <a:off x="9550101" y="96926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3" name="Text Box 249">
          <a:extLst>
            <a:ext uri="{FF2B5EF4-FFF2-40B4-BE49-F238E27FC236}">
              <a16:creationId xmlns:a16="http://schemas.microsoft.com/office/drawing/2014/main" id="{C7CBC9E2-F315-4D19-AFBF-2FA113DC5165}"/>
            </a:ext>
          </a:extLst>
        </xdr:cNvPr>
        <xdr:cNvSpPr txBox="1">
          <a:spLocks noChangeArrowheads="1"/>
        </xdr:cNvSpPr>
      </xdr:nvSpPr>
      <xdr:spPr bwMode="auto">
        <a:xfrm>
          <a:off x="9550101" y="96926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4" name="Text Box 249">
          <a:extLst>
            <a:ext uri="{FF2B5EF4-FFF2-40B4-BE49-F238E27FC236}">
              <a16:creationId xmlns:a16="http://schemas.microsoft.com/office/drawing/2014/main" id="{2CCE90EC-1011-4567-B59B-F8E823EEDF5F}"/>
            </a:ext>
          </a:extLst>
        </xdr:cNvPr>
        <xdr:cNvSpPr txBox="1">
          <a:spLocks noChangeArrowheads="1"/>
        </xdr:cNvSpPr>
      </xdr:nvSpPr>
      <xdr:spPr bwMode="auto">
        <a:xfrm>
          <a:off x="9550101" y="96926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45" name="Text Box 249">
          <a:extLst>
            <a:ext uri="{FF2B5EF4-FFF2-40B4-BE49-F238E27FC236}">
              <a16:creationId xmlns:a16="http://schemas.microsoft.com/office/drawing/2014/main" id="{2E140D1D-E615-4DAC-BB34-C2C3BCBE21A0}"/>
            </a:ext>
          </a:extLst>
        </xdr:cNvPr>
        <xdr:cNvSpPr txBox="1">
          <a:spLocks noChangeArrowheads="1"/>
        </xdr:cNvSpPr>
      </xdr:nvSpPr>
      <xdr:spPr bwMode="auto">
        <a:xfrm>
          <a:off x="9552641" y="969264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46" name="Text Box 249">
          <a:extLst>
            <a:ext uri="{FF2B5EF4-FFF2-40B4-BE49-F238E27FC236}">
              <a16:creationId xmlns:a16="http://schemas.microsoft.com/office/drawing/2014/main" id="{B9C76248-CE53-47E2-BFA0-211253531FB1}"/>
            </a:ext>
          </a:extLst>
        </xdr:cNvPr>
        <xdr:cNvSpPr txBox="1">
          <a:spLocks noChangeArrowheads="1"/>
        </xdr:cNvSpPr>
      </xdr:nvSpPr>
      <xdr:spPr bwMode="auto">
        <a:xfrm>
          <a:off x="9552641" y="9624508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7" name="Text Box 249">
          <a:extLst>
            <a:ext uri="{FF2B5EF4-FFF2-40B4-BE49-F238E27FC236}">
              <a16:creationId xmlns:a16="http://schemas.microsoft.com/office/drawing/2014/main" id="{A9D841B0-A3C4-4744-A3BB-5342658E4808}"/>
            </a:ext>
          </a:extLst>
        </xdr:cNvPr>
        <xdr:cNvSpPr txBox="1">
          <a:spLocks noChangeArrowheads="1"/>
        </xdr:cNvSpPr>
      </xdr:nvSpPr>
      <xdr:spPr bwMode="auto">
        <a:xfrm>
          <a:off x="9550101" y="962450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8" name="Text Box 249">
          <a:extLst>
            <a:ext uri="{FF2B5EF4-FFF2-40B4-BE49-F238E27FC236}">
              <a16:creationId xmlns:a16="http://schemas.microsoft.com/office/drawing/2014/main" id="{11ED1811-DFFE-433B-81A4-3CC34FCEA012}"/>
            </a:ext>
          </a:extLst>
        </xdr:cNvPr>
        <xdr:cNvSpPr txBox="1">
          <a:spLocks noChangeArrowheads="1"/>
        </xdr:cNvSpPr>
      </xdr:nvSpPr>
      <xdr:spPr bwMode="auto">
        <a:xfrm>
          <a:off x="9550101" y="962450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9" name="Text Box 249">
          <a:extLst>
            <a:ext uri="{FF2B5EF4-FFF2-40B4-BE49-F238E27FC236}">
              <a16:creationId xmlns:a16="http://schemas.microsoft.com/office/drawing/2014/main" id="{D1921FDB-BEE4-4E90-BE25-F0551DDF6A4A}"/>
            </a:ext>
          </a:extLst>
        </xdr:cNvPr>
        <xdr:cNvSpPr txBox="1">
          <a:spLocks noChangeArrowheads="1"/>
        </xdr:cNvSpPr>
      </xdr:nvSpPr>
      <xdr:spPr bwMode="auto">
        <a:xfrm>
          <a:off x="9550101" y="962450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0" name="Text Box 249">
          <a:extLst>
            <a:ext uri="{FF2B5EF4-FFF2-40B4-BE49-F238E27FC236}">
              <a16:creationId xmlns:a16="http://schemas.microsoft.com/office/drawing/2014/main" id="{851722BA-315C-4F31-9B09-312C76CA0598}"/>
            </a:ext>
          </a:extLst>
        </xdr:cNvPr>
        <xdr:cNvSpPr txBox="1">
          <a:spLocks noChangeArrowheads="1"/>
        </xdr:cNvSpPr>
      </xdr:nvSpPr>
      <xdr:spPr bwMode="auto">
        <a:xfrm>
          <a:off x="9550101" y="962450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1" name="Text Box 249">
          <a:extLst>
            <a:ext uri="{FF2B5EF4-FFF2-40B4-BE49-F238E27FC236}">
              <a16:creationId xmlns:a16="http://schemas.microsoft.com/office/drawing/2014/main" id="{28E26B66-F2E0-42B8-B26A-2A30BAF57738}"/>
            </a:ext>
          </a:extLst>
        </xdr:cNvPr>
        <xdr:cNvSpPr txBox="1">
          <a:spLocks noChangeArrowheads="1"/>
        </xdr:cNvSpPr>
      </xdr:nvSpPr>
      <xdr:spPr bwMode="auto">
        <a:xfrm>
          <a:off x="9550101" y="962450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2" name="Text Box 249">
          <a:extLst>
            <a:ext uri="{FF2B5EF4-FFF2-40B4-BE49-F238E27FC236}">
              <a16:creationId xmlns:a16="http://schemas.microsoft.com/office/drawing/2014/main" id="{54D2F669-66C4-4068-AD49-E59996CC15EE}"/>
            </a:ext>
          </a:extLst>
        </xdr:cNvPr>
        <xdr:cNvSpPr txBox="1">
          <a:spLocks noChangeArrowheads="1"/>
        </xdr:cNvSpPr>
      </xdr:nvSpPr>
      <xdr:spPr bwMode="auto">
        <a:xfrm>
          <a:off x="9550101" y="962450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53" name="Text Box 249">
          <a:extLst>
            <a:ext uri="{FF2B5EF4-FFF2-40B4-BE49-F238E27FC236}">
              <a16:creationId xmlns:a16="http://schemas.microsoft.com/office/drawing/2014/main" id="{250E4548-E0B9-4C34-9558-B32B2AC8DDAF}"/>
            </a:ext>
          </a:extLst>
        </xdr:cNvPr>
        <xdr:cNvSpPr txBox="1">
          <a:spLocks noChangeArrowheads="1"/>
        </xdr:cNvSpPr>
      </xdr:nvSpPr>
      <xdr:spPr bwMode="auto">
        <a:xfrm>
          <a:off x="9552641" y="9624508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54" name="Text Box 249">
          <a:extLst>
            <a:ext uri="{FF2B5EF4-FFF2-40B4-BE49-F238E27FC236}">
              <a16:creationId xmlns:a16="http://schemas.microsoft.com/office/drawing/2014/main" id="{CF92F21C-1990-4945-9C98-398F04CC809E}"/>
            </a:ext>
          </a:extLst>
        </xdr:cNvPr>
        <xdr:cNvSpPr txBox="1">
          <a:spLocks noChangeArrowheads="1"/>
        </xdr:cNvSpPr>
      </xdr:nvSpPr>
      <xdr:spPr bwMode="auto">
        <a:xfrm>
          <a:off x="9552641" y="9641541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5" name="Text Box 249">
          <a:extLst>
            <a:ext uri="{FF2B5EF4-FFF2-40B4-BE49-F238E27FC236}">
              <a16:creationId xmlns:a16="http://schemas.microsoft.com/office/drawing/2014/main" id="{85271797-A746-4821-A42A-C370BB23058B}"/>
            </a:ext>
          </a:extLst>
        </xdr:cNvPr>
        <xdr:cNvSpPr txBox="1">
          <a:spLocks noChangeArrowheads="1"/>
        </xdr:cNvSpPr>
      </xdr:nvSpPr>
      <xdr:spPr bwMode="auto">
        <a:xfrm>
          <a:off x="9550101" y="964154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6" name="Text Box 249">
          <a:extLst>
            <a:ext uri="{FF2B5EF4-FFF2-40B4-BE49-F238E27FC236}">
              <a16:creationId xmlns:a16="http://schemas.microsoft.com/office/drawing/2014/main" id="{C7F04CA4-B377-494E-946C-BE7E57B9FFE1}"/>
            </a:ext>
          </a:extLst>
        </xdr:cNvPr>
        <xdr:cNvSpPr txBox="1">
          <a:spLocks noChangeArrowheads="1"/>
        </xdr:cNvSpPr>
      </xdr:nvSpPr>
      <xdr:spPr bwMode="auto">
        <a:xfrm>
          <a:off x="9550101" y="964154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7" name="Text Box 249">
          <a:extLst>
            <a:ext uri="{FF2B5EF4-FFF2-40B4-BE49-F238E27FC236}">
              <a16:creationId xmlns:a16="http://schemas.microsoft.com/office/drawing/2014/main" id="{089CCEE7-E67E-4934-B405-BDC57B5D03EA}"/>
            </a:ext>
          </a:extLst>
        </xdr:cNvPr>
        <xdr:cNvSpPr txBox="1">
          <a:spLocks noChangeArrowheads="1"/>
        </xdr:cNvSpPr>
      </xdr:nvSpPr>
      <xdr:spPr bwMode="auto">
        <a:xfrm>
          <a:off x="9550101" y="964154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8" name="Text Box 249">
          <a:extLst>
            <a:ext uri="{FF2B5EF4-FFF2-40B4-BE49-F238E27FC236}">
              <a16:creationId xmlns:a16="http://schemas.microsoft.com/office/drawing/2014/main" id="{FCBF1487-5712-45FD-867A-E87835DF56CE}"/>
            </a:ext>
          </a:extLst>
        </xdr:cNvPr>
        <xdr:cNvSpPr txBox="1">
          <a:spLocks noChangeArrowheads="1"/>
        </xdr:cNvSpPr>
      </xdr:nvSpPr>
      <xdr:spPr bwMode="auto">
        <a:xfrm>
          <a:off x="9550101" y="964154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9" name="Text Box 249">
          <a:extLst>
            <a:ext uri="{FF2B5EF4-FFF2-40B4-BE49-F238E27FC236}">
              <a16:creationId xmlns:a16="http://schemas.microsoft.com/office/drawing/2014/main" id="{18392546-0C94-4AE9-B5F7-78C4D77C1A53}"/>
            </a:ext>
          </a:extLst>
        </xdr:cNvPr>
        <xdr:cNvSpPr txBox="1">
          <a:spLocks noChangeArrowheads="1"/>
        </xdr:cNvSpPr>
      </xdr:nvSpPr>
      <xdr:spPr bwMode="auto">
        <a:xfrm>
          <a:off x="9550101" y="964154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0" name="Text Box 249">
          <a:extLst>
            <a:ext uri="{FF2B5EF4-FFF2-40B4-BE49-F238E27FC236}">
              <a16:creationId xmlns:a16="http://schemas.microsoft.com/office/drawing/2014/main" id="{F88CE686-8CFD-4416-BC47-BE31D2D54576}"/>
            </a:ext>
          </a:extLst>
        </xdr:cNvPr>
        <xdr:cNvSpPr txBox="1">
          <a:spLocks noChangeArrowheads="1"/>
        </xdr:cNvSpPr>
      </xdr:nvSpPr>
      <xdr:spPr bwMode="auto">
        <a:xfrm>
          <a:off x="9550101" y="9641541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61" name="Text Box 249">
          <a:extLst>
            <a:ext uri="{FF2B5EF4-FFF2-40B4-BE49-F238E27FC236}">
              <a16:creationId xmlns:a16="http://schemas.microsoft.com/office/drawing/2014/main" id="{103D3D45-2CB5-4196-A47E-220DF25EC8EF}"/>
            </a:ext>
          </a:extLst>
        </xdr:cNvPr>
        <xdr:cNvSpPr txBox="1">
          <a:spLocks noChangeArrowheads="1"/>
        </xdr:cNvSpPr>
      </xdr:nvSpPr>
      <xdr:spPr bwMode="auto">
        <a:xfrm>
          <a:off x="9552641" y="9641541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62" name="Text Box 249">
          <a:extLst>
            <a:ext uri="{FF2B5EF4-FFF2-40B4-BE49-F238E27FC236}">
              <a16:creationId xmlns:a16="http://schemas.microsoft.com/office/drawing/2014/main" id="{776CCBB1-60A5-417B-B333-6BB36AE21564}"/>
            </a:ext>
          </a:extLst>
        </xdr:cNvPr>
        <xdr:cNvSpPr txBox="1">
          <a:spLocks noChangeArrowheads="1"/>
        </xdr:cNvSpPr>
      </xdr:nvSpPr>
      <xdr:spPr bwMode="auto">
        <a:xfrm>
          <a:off x="9552641" y="96585741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3" name="Text Box 249">
          <a:extLst>
            <a:ext uri="{FF2B5EF4-FFF2-40B4-BE49-F238E27FC236}">
              <a16:creationId xmlns:a16="http://schemas.microsoft.com/office/drawing/2014/main" id="{B7C61F47-5D03-4777-A8B2-12FE940A930B}"/>
            </a:ext>
          </a:extLst>
        </xdr:cNvPr>
        <xdr:cNvSpPr txBox="1">
          <a:spLocks noChangeArrowheads="1"/>
        </xdr:cNvSpPr>
      </xdr:nvSpPr>
      <xdr:spPr bwMode="auto">
        <a:xfrm>
          <a:off x="9550101" y="9658574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4" name="Text Box 249">
          <a:extLst>
            <a:ext uri="{FF2B5EF4-FFF2-40B4-BE49-F238E27FC236}">
              <a16:creationId xmlns:a16="http://schemas.microsoft.com/office/drawing/2014/main" id="{BC2F0812-6F79-4E34-AA31-9C490C7BB24D}"/>
            </a:ext>
          </a:extLst>
        </xdr:cNvPr>
        <xdr:cNvSpPr txBox="1">
          <a:spLocks noChangeArrowheads="1"/>
        </xdr:cNvSpPr>
      </xdr:nvSpPr>
      <xdr:spPr bwMode="auto">
        <a:xfrm>
          <a:off x="9550101" y="9658574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5" name="Text Box 249">
          <a:extLst>
            <a:ext uri="{FF2B5EF4-FFF2-40B4-BE49-F238E27FC236}">
              <a16:creationId xmlns:a16="http://schemas.microsoft.com/office/drawing/2014/main" id="{4795E2C9-C7F2-4A72-8C85-585381E77DA5}"/>
            </a:ext>
          </a:extLst>
        </xdr:cNvPr>
        <xdr:cNvSpPr txBox="1">
          <a:spLocks noChangeArrowheads="1"/>
        </xdr:cNvSpPr>
      </xdr:nvSpPr>
      <xdr:spPr bwMode="auto">
        <a:xfrm>
          <a:off x="9550101" y="9658574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6" name="Text Box 249">
          <a:extLst>
            <a:ext uri="{FF2B5EF4-FFF2-40B4-BE49-F238E27FC236}">
              <a16:creationId xmlns:a16="http://schemas.microsoft.com/office/drawing/2014/main" id="{5DB458F0-D5F2-41A2-B485-75F1805035E0}"/>
            </a:ext>
          </a:extLst>
        </xdr:cNvPr>
        <xdr:cNvSpPr txBox="1">
          <a:spLocks noChangeArrowheads="1"/>
        </xdr:cNvSpPr>
      </xdr:nvSpPr>
      <xdr:spPr bwMode="auto">
        <a:xfrm>
          <a:off x="9550101" y="9658574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7" name="Text Box 249">
          <a:extLst>
            <a:ext uri="{FF2B5EF4-FFF2-40B4-BE49-F238E27FC236}">
              <a16:creationId xmlns:a16="http://schemas.microsoft.com/office/drawing/2014/main" id="{887B5A41-4262-4320-9469-3F81994114B4}"/>
            </a:ext>
          </a:extLst>
        </xdr:cNvPr>
        <xdr:cNvSpPr txBox="1">
          <a:spLocks noChangeArrowheads="1"/>
        </xdr:cNvSpPr>
      </xdr:nvSpPr>
      <xdr:spPr bwMode="auto">
        <a:xfrm>
          <a:off x="9550101" y="9658574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8" name="Text Box 249">
          <a:extLst>
            <a:ext uri="{FF2B5EF4-FFF2-40B4-BE49-F238E27FC236}">
              <a16:creationId xmlns:a16="http://schemas.microsoft.com/office/drawing/2014/main" id="{E8FE415C-283F-4351-933C-CDDEE71BEC3D}"/>
            </a:ext>
          </a:extLst>
        </xdr:cNvPr>
        <xdr:cNvSpPr txBox="1">
          <a:spLocks noChangeArrowheads="1"/>
        </xdr:cNvSpPr>
      </xdr:nvSpPr>
      <xdr:spPr bwMode="auto">
        <a:xfrm>
          <a:off x="9550101" y="96585741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69" name="Text Box 249">
          <a:extLst>
            <a:ext uri="{FF2B5EF4-FFF2-40B4-BE49-F238E27FC236}">
              <a16:creationId xmlns:a16="http://schemas.microsoft.com/office/drawing/2014/main" id="{17AB94AC-30C9-47B7-ACBE-B3F033A36EC6}"/>
            </a:ext>
          </a:extLst>
        </xdr:cNvPr>
        <xdr:cNvSpPr txBox="1">
          <a:spLocks noChangeArrowheads="1"/>
        </xdr:cNvSpPr>
      </xdr:nvSpPr>
      <xdr:spPr bwMode="auto">
        <a:xfrm>
          <a:off x="9552641" y="96585741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70" name="Text Box 249">
          <a:extLst>
            <a:ext uri="{FF2B5EF4-FFF2-40B4-BE49-F238E27FC236}">
              <a16:creationId xmlns:a16="http://schemas.microsoft.com/office/drawing/2014/main" id="{50A4DE68-2F3C-4A36-A252-7333B05F37BA}"/>
            </a:ext>
          </a:extLst>
        </xdr:cNvPr>
        <xdr:cNvSpPr txBox="1">
          <a:spLocks noChangeArrowheads="1"/>
        </xdr:cNvSpPr>
      </xdr:nvSpPr>
      <xdr:spPr bwMode="auto">
        <a:xfrm>
          <a:off x="9552641" y="97096729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1" name="Text Box 249">
          <a:extLst>
            <a:ext uri="{FF2B5EF4-FFF2-40B4-BE49-F238E27FC236}">
              <a16:creationId xmlns:a16="http://schemas.microsoft.com/office/drawing/2014/main" id="{490647EF-F6C5-4FDB-AD04-284EA32816CD}"/>
            </a:ext>
          </a:extLst>
        </xdr:cNvPr>
        <xdr:cNvSpPr txBox="1">
          <a:spLocks noChangeArrowheads="1"/>
        </xdr:cNvSpPr>
      </xdr:nvSpPr>
      <xdr:spPr bwMode="auto">
        <a:xfrm>
          <a:off x="9550101" y="97096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2" name="Text Box 249">
          <a:extLst>
            <a:ext uri="{FF2B5EF4-FFF2-40B4-BE49-F238E27FC236}">
              <a16:creationId xmlns:a16="http://schemas.microsoft.com/office/drawing/2014/main" id="{E084EA74-4781-4D92-8497-EEC5A7BCE77D}"/>
            </a:ext>
          </a:extLst>
        </xdr:cNvPr>
        <xdr:cNvSpPr txBox="1">
          <a:spLocks noChangeArrowheads="1"/>
        </xdr:cNvSpPr>
      </xdr:nvSpPr>
      <xdr:spPr bwMode="auto">
        <a:xfrm>
          <a:off x="9550101" y="97096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3" name="Text Box 249">
          <a:extLst>
            <a:ext uri="{FF2B5EF4-FFF2-40B4-BE49-F238E27FC236}">
              <a16:creationId xmlns:a16="http://schemas.microsoft.com/office/drawing/2014/main" id="{CAEB0A89-6F26-4D25-A1AA-431FA35A1868}"/>
            </a:ext>
          </a:extLst>
        </xdr:cNvPr>
        <xdr:cNvSpPr txBox="1">
          <a:spLocks noChangeArrowheads="1"/>
        </xdr:cNvSpPr>
      </xdr:nvSpPr>
      <xdr:spPr bwMode="auto">
        <a:xfrm>
          <a:off x="9550101" y="97096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4" name="Text Box 249">
          <a:extLst>
            <a:ext uri="{FF2B5EF4-FFF2-40B4-BE49-F238E27FC236}">
              <a16:creationId xmlns:a16="http://schemas.microsoft.com/office/drawing/2014/main" id="{FEBCA52D-C392-4CE4-B085-329C4794CE03}"/>
            </a:ext>
          </a:extLst>
        </xdr:cNvPr>
        <xdr:cNvSpPr txBox="1">
          <a:spLocks noChangeArrowheads="1"/>
        </xdr:cNvSpPr>
      </xdr:nvSpPr>
      <xdr:spPr bwMode="auto">
        <a:xfrm>
          <a:off x="9550101" y="97096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5" name="Text Box 249">
          <a:extLst>
            <a:ext uri="{FF2B5EF4-FFF2-40B4-BE49-F238E27FC236}">
              <a16:creationId xmlns:a16="http://schemas.microsoft.com/office/drawing/2014/main" id="{0AA561E8-E3ED-45B5-BE65-44AA41CDEF37}"/>
            </a:ext>
          </a:extLst>
        </xdr:cNvPr>
        <xdr:cNvSpPr txBox="1">
          <a:spLocks noChangeArrowheads="1"/>
        </xdr:cNvSpPr>
      </xdr:nvSpPr>
      <xdr:spPr bwMode="auto">
        <a:xfrm>
          <a:off x="9550101" y="97096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6" name="Text Box 249">
          <a:extLst>
            <a:ext uri="{FF2B5EF4-FFF2-40B4-BE49-F238E27FC236}">
              <a16:creationId xmlns:a16="http://schemas.microsoft.com/office/drawing/2014/main" id="{18C3AF68-3F6D-4C50-A343-D39E3F0CCCAB}"/>
            </a:ext>
          </a:extLst>
        </xdr:cNvPr>
        <xdr:cNvSpPr txBox="1">
          <a:spLocks noChangeArrowheads="1"/>
        </xdr:cNvSpPr>
      </xdr:nvSpPr>
      <xdr:spPr bwMode="auto">
        <a:xfrm>
          <a:off x="9550101" y="97096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77" name="Text Box 249">
          <a:extLst>
            <a:ext uri="{FF2B5EF4-FFF2-40B4-BE49-F238E27FC236}">
              <a16:creationId xmlns:a16="http://schemas.microsoft.com/office/drawing/2014/main" id="{635CD090-51D6-47FB-A9DA-149A5ABDD89C}"/>
            </a:ext>
          </a:extLst>
        </xdr:cNvPr>
        <xdr:cNvSpPr txBox="1">
          <a:spLocks noChangeArrowheads="1"/>
        </xdr:cNvSpPr>
      </xdr:nvSpPr>
      <xdr:spPr bwMode="auto">
        <a:xfrm>
          <a:off x="9552641" y="97096729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78" name="Text Box 249">
          <a:extLst>
            <a:ext uri="{FF2B5EF4-FFF2-40B4-BE49-F238E27FC236}">
              <a16:creationId xmlns:a16="http://schemas.microsoft.com/office/drawing/2014/main" id="{276F8278-D748-4240-A8C4-2F1495BB0BCD}"/>
            </a:ext>
          </a:extLst>
        </xdr:cNvPr>
        <xdr:cNvSpPr txBox="1">
          <a:spLocks noChangeArrowheads="1"/>
        </xdr:cNvSpPr>
      </xdr:nvSpPr>
      <xdr:spPr bwMode="auto">
        <a:xfrm>
          <a:off x="9552641" y="97267059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9" name="Text Box 249">
          <a:extLst>
            <a:ext uri="{FF2B5EF4-FFF2-40B4-BE49-F238E27FC236}">
              <a16:creationId xmlns:a16="http://schemas.microsoft.com/office/drawing/2014/main" id="{9AF58DD9-F579-4898-9FE6-FAD75F0AF0F6}"/>
            </a:ext>
          </a:extLst>
        </xdr:cNvPr>
        <xdr:cNvSpPr txBox="1">
          <a:spLocks noChangeArrowheads="1"/>
        </xdr:cNvSpPr>
      </xdr:nvSpPr>
      <xdr:spPr bwMode="auto">
        <a:xfrm>
          <a:off x="9550101" y="9726705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0" name="Text Box 249">
          <a:extLst>
            <a:ext uri="{FF2B5EF4-FFF2-40B4-BE49-F238E27FC236}">
              <a16:creationId xmlns:a16="http://schemas.microsoft.com/office/drawing/2014/main" id="{7A6E03D3-3801-4418-9C2C-FB30430231D0}"/>
            </a:ext>
          </a:extLst>
        </xdr:cNvPr>
        <xdr:cNvSpPr txBox="1">
          <a:spLocks noChangeArrowheads="1"/>
        </xdr:cNvSpPr>
      </xdr:nvSpPr>
      <xdr:spPr bwMode="auto">
        <a:xfrm>
          <a:off x="9550101" y="9726705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1" name="Text Box 249">
          <a:extLst>
            <a:ext uri="{FF2B5EF4-FFF2-40B4-BE49-F238E27FC236}">
              <a16:creationId xmlns:a16="http://schemas.microsoft.com/office/drawing/2014/main" id="{778D4650-0262-4FCB-AEF0-8004C7BAE075}"/>
            </a:ext>
          </a:extLst>
        </xdr:cNvPr>
        <xdr:cNvSpPr txBox="1">
          <a:spLocks noChangeArrowheads="1"/>
        </xdr:cNvSpPr>
      </xdr:nvSpPr>
      <xdr:spPr bwMode="auto">
        <a:xfrm>
          <a:off x="9550101" y="9726705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2" name="Text Box 249">
          <a:extLst>
            <a:ext uri="{FF2B5EF4-FFF2-40B4-BE49-F238E27FC236}">
              <a16:creationId xmlns:a16="http://schemas.microsoft.com/office/drawing/2014/main" id="{2D01C53A-15F4-40CC-8618-BE876346D500}"/>
            </a:ext>
          </a:extLst>
        </xdr:cNvPr>
        <xdr:cNvSpPr txBox="1">
          <a:spLocks noChangeArrowheads="1"/>
        </xdr:cNvSpPr>
      </xdr:nvSpPr>
      <xdr:spPr bwMode="auto">
        <a:xfrm>
          <a:off x="9550101" y="9726705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3" name="Text Box 249">
          <a:extLst>
            <a:ext uri="{FF2B5EF4-FFF2-40B4-BE49-F238E27FC236}">
              <a16:creationId xmlns:a16="http://schemas.microsoft.com/office/drawing/2014/main" id="{C3B59879-A369-4958-A76B-C438BCB187A9}"/>
            </a:ext>
          </a:extLst>
        </xdr:cNvPr>
        <xdr:cNvSpPr txBox="1">
          <a:spLocks noChangeArrowheads="1"/>
        </xdr:cNvSpPr>
      </xdr:nvSpPr>
      <xdr:spPr bwMode="auto">
        <a:xfrm>
          <a:off x="9550101" y="9726705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4" name="Text Box 249">
          <a:extLst>
            <a:ext uri="{FF2B5EF4-FFF2-40B4-BE49-F238E27FC236}">
              <a16:creationId xmlns:a16="http://schemas.microsoft.com/office/drawing/2014/main" id="{B77A9DBB-B080-4C75-83BA-8921C6655FE0}"/>
            </a:ext>
          </a:extLst>
        </xdr:cNvPr>
        <xdr:cNvSpPr txBox="1">
          <a:spLocks noChangeArrowheads="1"/>
        </xdr:cNvSpPr>
      </xdr:nvSpPr>
      <xdr:spPr bwMode="auto">
        <a:xfrm>
          <a:off x="9550101" y="9726705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85" name="Text Box 249">
          <a:extLst>
            <a:ext uri="{FF2B5EF4-FFF2-40B4-BE49-F238E27FC236}">
              <a16:creationId xmlns:a16="http://schemas.microsoft.com/office/drawing/2014/main" id="{4D9C29CD-A2B7-4351-8B7D-BA08B5CB0621}"/>
            </a:ext>
          </a:extLst>
        </xdr:cNvPr>
        <xdr:cNvSpPr txBox="1">
          <a:spLocks noChangeArrowheads="1"/>
        </xdr:cNvSpPr>
      </xdr:nvSpPr>
      <xdr:spPr bwMode="auto">
        <a:xfrm>
          <a:off x="9552641" y="97267059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86" name="Text Box 249">
          <a:extLst>
            <a:ext uri="{FF2B5EF4-FFF2-40B4-BE49-F238E27FC236}">
              <a16:creationId xmlns:a16="http://schemas.microsoft.com/office/drawing/2014/main" id="{E48E26C9-8210-475D-8DA3-0D751B150867}"/>
            </a:ext>
          </a:extLst>
        </xdr:cNvPr>
        <xdr:cNvSpPr txBox="1">
          <a:spLocks noChangeArrowheads="1"/>
        </xdr:cNvSpPr>
      </xdr:nvSpPr>
      <xdr:spPr bwMode="auto">
        <a:xfrm>
          <a:off x="9552641" y="97437388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7" name="Text Box 249">
          <a:extLst>
            <a:ext uri="{FF2B5EF4-FFF2-40B4-BE49-F238E27FC236}">
              <a16:creationId xmlns:a16="http://schemas.microsoft.com/office/drawing/2014/main" id="{661FB1AA-16C9-4A69-9EFD-296B7A91F577}"/>
            </a:ext>
          </a:extLst>
        </xdr:cNvPr>
        <xdr:cNvSpPr txBox="1">
          <a:spLocks noChangeArrowheads="1"/>
        </xdr:cNvSpPr>
      </xdr:nvSpPr>
      <xdr:spPr bwMode="auto">
        <a:xfrm>
          <a:off x="9550101" y="97437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8" name="Text Box 249">
          <a:extLst>
            <a:ext uri="{FF2B5EF4-FFF2-40B4-BE49-F238E27FC236}">
              <a16:creationId xmlns:a16="http://schemas.microsoft.com/office/drawing/2014/main" id="{6FFEE3F2-02FC-48FD-A46B-1E59E6D650DE}"/>
            </a:ext>
          </a:extLst>
        </xdr:cNvPr>
        <xdr:cNvSpPr txBox="1">
          <a:spLocks noChangeArrowheads="1"/>
        </xdr:cNvSpPr>
      </xdr:nvSpPr>
      <xdr:spPr bwMode="auto">
        <a:xfrm>
          <a:off x="9550101" y="97437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9" name="Text Box 249">
          <a:extLst>
            <a:ext uri="{FF2B5EF4-FFF2-40B4-BE49-F238E27FC236}">
              <a16:creationId xmlns:a16="http://schemas.microsoft.com/office/drawing/2014/main" id="{B49A2C07-554B-4FC1-8244-70F6CAF2E915}"/>
            </a:ext>
          </a:extLst>
        </xdr:cNvPr>
        <xdr:cNvSpPr txBox="1">
          <a:spLocks noChangeArrowheads="1"/>
        </xdr:cNvSpPr>
      </xdr:nvSpPr>
      <xdr:spPr bwMode="auto">
        <a:xfrm>
          <a:off x="9550101" y="97437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90" name="Text Box 249">
          <a:extLst>
            <a:ext uri="{FF2B5EF4-FFF2-40B4-BE49-F238E27FC236}">
              <a16:creationId xmlns:a16="http://schemas.microsoft.com/office/drawing/2014/main" id="{72AE90D9-35AD-478A-A560-431F8684BD3E}"/>
            </a:ext>
          </a:extLst>
        </xdr:cNvPr>
        <xdr:cNvSpPr txBox="1">
          <a:spLocks noChangeArrowheads="1"/>
        </xdr:cNvSpPr>
      </xdr:nvSpPr>
      <xdr:spPr bwMode="auto">
        <a:xfrm>
          <a:off x="9550101" y="97437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91" name="Text Box 249">
          <a:extLst>
            <a:ext uri="{FF2B5EF4-FFF2-40B4-BE49-F238E27FC236}">
              <a16:creationId xmlns:a16="http://schemas.microsoft.com/office/drawing/2014/main" id="{62E4D23B-87D6-4569-95AF-4F99A4E8532F}"/>
            </a:ext>
          </a:extLst>
        </xdr:cNvPr>
        <xdr:cNvSpPr txBox="1">
          <a:spLocks noChangeArrowheads="1"/>
        </xdr:cNvSpPr>
      </xdr:nvSpPr>
      <xdr:spPr bwMode="auto">
        <a:xfrm>
          <a:off x="9550101" y="97437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92" name="Text Box 249">
          <a:extLst>
            <a:ext uri="{FF2B5EF4-FFF2-40B4-BE49-F238E27FC236}">
              <a16:creationId xmlns:a16="http://schemas.microsoft.com/office/drawing/2014/main" id="{94FBB152-6DB4-446E-A0A1-9B4D2D87B756}"/>
            </a:ext>
          </a:extLst>
        </xdr:cNvPr>
        <xdr:cNvSpPr txBox="1">
          <a:spLocks noChangeArrowheads="1"/>
        </xdr:cNvSpPr>
      </xdr:nvSpPr>
      <xdr:spPr bwMode="auto">
        <a:xfrm>
          <a:off x="9550101" y="97437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93" name="Text Box 249">
          <a:extLst>
            <a:ext uri="{FF2B5EF4-FFF2-40B4-BE49-F238E27FC236}">
              <a16:creationId xmlns:a16="http://schemas.microsoft.com/office/drawing/2014/main" id="{FF99A36D-A8C9-4120-9E22-4FD1D4A48AF7}"/>
            </a:ext>
          </a:extLst>
        </xdr:cNvPr>
        <xdr:cNvSpPr txBox="1">
          <a:spLocks noChangeArrowheads="1"/>
        </xdr:cNvSpPr>
      </xdr:nvSpPr>
      <xdr:spPr bwMode="auto">
        <a:xfrm>
          <a:off x="9552641" y="97437388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794" name="Text Box 249">
          <a:extLst>
            <a:ext uri="{FF2B5EF4-FFF2-40B4-BE49-F238E27FC236}">
              <a16:creationId xmlns:a16="http://schemas.microsoft.com/office/drawing/2014/main" id="{AD7B827C-2F9E-4E33-92D3-884D85C01738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795" name="Text Box 249">
          <a:extLst>
            <a:ext uri="{FF2B5EF4-FFF2-40B4-BE49-F238E27FC236}">
              <a16:creationId xmlns:a16="http://schemas.microsoft.com/office/drawing/2014/main" id="{714B71D8-A8E0-4CF5-ABFF-5CE00D28634D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796" name="Text Box 249">
          <a:extLst>
            <a:ext uri="{FF2B5EF4-FFF2-40B4-BE49-F238E27FC236}">
              <a16:creationId xmlns:a16="http://schemas.microsoft.com/office/drawing/2014/main" id="{F802DB55-7776-456E-9F7E-7A2EB988746E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797" name="Text Box 249">
          <a:extLst>
            <a:ext uri="{FF2B5EF4-FFF2-40B4-BE49-F238E27FC236}">
              <a16:creationId xmlns:a16="http://schemas.microsoft.com/office/drawing/2014/main" id="{9DE38C7F-C13D-4B1F-9EF7-C828A4897D3F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798" name="Text Box 249">
          <a:extLst>
            <a:ext uri="{FF2B5EF4-FFF2-40B4-BE49-F238E27FC236}">
              <a16:creationId xmlns:a16="http://schemas.microsoft.com/office/drawing/2014/main" id="{A0F3BB2D-9D97-4615-A478-0D6410E7E005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799" name="Text Box 249">
          <a:extLst>
            <a:ext uri="{FF2B5EF4-FFF2-40B4-BE49-F238E27FC236}">
              <a16:creationId xmlns:a16="http://schemas.microsoft.com/office/drawing/2014/main" id="{22EE2BB4-D5F9-4192-93E3-78FEDC292FEA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0" name="Text Box 249">
          <a:extLst>
            <a:ext uri="{FF2B5EF4-FFF2-40B4-BE49-F238E27FC236}">
              <a16:creationId xmlns:a16="http://schemas.microsoft.com/office/drawing/2014/main" id="{7BD90FEB-D509-490E-BF55-EFD48C72689F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01" name="Text Box 249">
          <a:extLst>
            <a:ext uri="{FF2B5EF4-FFF2-40B4-BE49-F238E27FC236}">
              <a16:creationId xmlns:a16="http://schemas.microsoft.com/office/drawing/2014/main" id="{6F168275-61B3-4100-9804-5058367E2189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2" name="Text Box 249">
          <a:extLst>
            <a:ext uri="{FF2B5EF4-FFF2-40B4-BE49-F238E27FC236}">
              <a16:creationId xmlns:a16="http://schemas.microsoft.com/office/drawing/2014/main" id="{40F79309-6A07-441C-9753-4CA66AD6A822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3" name="Text Box 249">
          <a:extLst>
            <a:ext uri="{FF2B5EF4-FFF2-40B4-BE49-F238E27FC236}">
              <a16:creationId xmlns:a16="http://schemas.microsoft.com/office/drawing/2014/main" id="{3488185B-7EC2-46B7-B015-1EC97A9F124A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4" name="Text Box 249">
          <a:extLst>
            <a:ext uri="{FF2B5EF4-FFF2-40B4-BE49-F238E27FC236}">
              <a16:creationId xmlns:a16="http://schemas.microsoft.com/office/drawing/2014/main" id="{766B5B79-3B76-48E2-BDB6-76CCAFFE5B6E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5" name="Text Box 249">
          <a:extLst>
            <a:ext uri="{FF2B5EF4-FFF2-40B4-BE49-F238E27FC236}">
              <a16:creationId xmlns:a16="http://schemas.microsoft.com/office/drawing/2014/main" id="{727F04C3-6FA3-4C1B-9BD7-C3607B370727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6" name="Text Box 249">
          <a:extLst>
            <a:ext uri="{FF2B5EF4-FFF2-40B4-BE49-F238E27FC236}">
              <a16:creationId xmlns:a16="http://schemas.microsoft.com/office/drawing/2014/main" id="{2B09208D-EC46-4905-806C-A9B8AF3AFD98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7" name="Text Box 249">
          <a:extLst>
            <a:ext uri="{FF2B5EF4-FFF2-40B4-BE49-F238E27FC236}">
              <a16:creationId xmlns:a16="http://schemas.microsoft.com/office/drawing/2014/main" id="{66185FE7-729E-4F4F-8121-1EDA31F67762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08" name="Text Box 249">
          <a:extLst>
            <a:ext uri="{FF2B5EF4-FFF2-40B4-BE49-F238E27FC236}">
              <a16:creationId xmlns:a16="http://schemas.microsoft.com/office/drawing/2014/main" id="{3B179C02-5761-40B7-A625-AA90647F2A03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09" name="Text Box 249">
          <a:extLst>
            <a:ext uri="{FF2B5EF4-FFF2-40B4-BE49-F238E27FC236}">
              <a16:creationId xmlns:a16="http://schemas.microsoft.com/office/drawing/2014/main" id="{0649478D-65CD-4F54-922E-E5D153AC580A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0" name="Text Box 249">
          <a:extLst>
            <a:ext uri="{FF2B5EF4-FFF2-40B4-BE49-F238E27FC236}">
              <a16:creationId xmlns:a16="http://schemas.microsoft.com/office/drawing/2014/main" id="{F199AAFA-9DDF-477A-B553-41D45140DC7E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1" name="Text Box 249">
          <a:extLst>
            <a:ext uri="{FF2B5EF4-FFF2-40B4-BE49-F238E27FC236}">
              <a16:creationId xmlns:a16="http://schemas.microsoft.com/office/drawing/2014/main" id="{6EB55C18-5CE1-4348-96BF-60BADE778107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2" name="Text Box 249">
          <a:extLst>
            <a:ext uri="{FF2B5EF4-FFF2-40B4-BE49-F238E27FC236}">
              <a16:creationId xmlns:a16="http://schemas.microsoft.com/office/drawing/2014/main" id="{35D00C62-1CBD-4DDE-A5B0-41BF66A15822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3" name="Text Box 249">
          <a:extLst>
            <a:ext uri="{FF2B5EF4-FFF2-40B4-BE49-F238E27FC236}">
              <a16:creationId xmlns:a16="http://schemas.microsoft.com/office/drawing/2014/main" id="{9D27BA79-015B-4364-8C82-5BF85BC81144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4" name="Text Box 249">
          <a:extLst>
            <a:ext uri="{FF2B5EF4-FFF2-40B4-BE49-F238E27FC236}">
              <a16:creationId xmlns:a16="http://schemas.microsoft.com/office/drawing/2014/main" id="{12461E78-97B4-4774-A5A5-2BA61E374A27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5" name="Text Box 249">
          <a:extLst>
            <a:ext uri="{FF2B5EF4-FFF2-40B4-BE49-F238E27FC236}">
              <a16:creationId xmlns:a16="http://schemas.microsoft.com/office/drawing/2014/main" id="{E88D8B08-A98E-44CC-9E16-8356E0CC34D9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16" name="Text Box 249">
          <a:extLst>
            <a:ext uri="{FF2B5EF4-FFF2-40B4-BE49-F238E27FC236}">
              <a16:creationId xmlns:a16="http://schemas.microsoft.com/office/drawing/2014/main" id="{873E5803-4EF5-41A2-820C-F3EC5DE8075C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17" name="Text Box 249">
          <a:extLst>
            <a:ext uri="{FF2B5EF4-FFF2-40B4-BE49-F238E27FC236}">
              <a16:creationId xmlns:a16="http://schemas.microsoft.com/office/drawing/2014/main" id="{BE33B21D-F4C1-4BCD-A68B-9B3C66079C08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8" name="Text Box 249">
          <a:extLst>
            <a:ext uri="{FF2B5EF4-FFF2-40B4-BE49-F238E27FC236}">
              <a16:creationId xmlns:a16="http://schemas.microsoft.com/office/drawing/2014/main" id="{88CEF1E8-9A12-490F-9F44-CB08438981D7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9" name="Text Box 249">
          <a:extLst>
            <a:ext uri="{FF2B5EF4-FFF2-40B4-BE49-F238E27FC236}">
              <a16:creationId xmlns:a16="http://schemas.microsoft.com/office/drawing/2014/main" id="{3227D3E5-2145-459C-8CA1-8E4A807279E0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0" name="Text Box 249">
          <a:extLst>
            <a:ext uri="{FF2B5EF4-FFF2-40B4-BE49-F238E27FC236}">
              <a16:creationId xmlns:a16="http://schemas.microsoft.com/office/drawing/2014/main" id="{C0D71860-5F8F-4AA4-95E4-177F405AE579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1" name="Text Box 249">
          <a:extLst>
            <a:ext uri="{FF2B5EF4-FFF2-40B4-BE49-F238E27FC236}">
              <a16:creationId xmlns:a16="http://schemas.microsoft.com/office/drawing/2014/main" id="{988E9005-4D53-445D-9075-8A86B89E2FE0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2" name="Text Box 249">
          <a:extLst>
            <a:ext uri="{FF2B5EF4-FFF2-40B4-BE49-F238E27FC236}">
              <a16:creationId xmlns:a16="http://schemas.microsoft.com/office/drawing/2014/main" id="{3EF519E1-1192-46CD-A8E1-481FD1B63E70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3" name="Text Box 249">
          <a:extLst>
            <a:ext uri="{FF2B5EF4-FFF2-40B4-BE49-F238E27FC236}">
              <a16:creationId xmlns:a16="http://schemas.microsoft.com/office/drawing/2014/main" id="{239C2AF8-F843-4904-B4B3-D994118E4B66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24" name="Text Box 249">
          <a:extLst>
            <a:ext uri="{FF2B5EF4-FFF2-40B4-BE49-F238E27FC236}">
              <a16:creationId xmlns:a16="http://schemas.microsoft.com/office/drawing/2014/main" id="{F8E30B24-6EE5-493E-829D-2805AC22493F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25" name="Text Box 249">
          <a:extLst>
            <a:ext uri="{FF2B5EF4-FFF2-40B4-BE49-F238E27FC236}">
              <a16:creationId xmlns:a16="http://schemas.microsoft.com/office/drawing/2014/main" id="{D4A4BEC5-8C81-4215-B8E8-A1C09A344434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6" name="Text Box 249">
          <a:extLst>
            <a:ext uri="{FF2B5EF4-FFF2-40B4-BE49-F238E27FC236}">
              <a16:creationId xmlns:a16="http://schemas.microsoft.com/office/drawing/2014/main" id="{8A5B4332-EF47-452B-9718-FB8F819C22C9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7" name="Text Box 249">
          <a:extLst>
            <a:ext uri="{FF2B5EF4-FFF2-40B4-BE49-F238E27FC236}">
              <a16:creationId xmlns:a16="http://schemas.microsoft.com/office/drawing/2014/main" id="{CBF68AF0-BA8B-4114-A880-83EA48F6C276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8" name="Text Box 249">
          <a:extLst>
            <a:ext uri="{FF2B5EF4-FFF2-40B4-BE49-F238E27FC236}">
              <a16:creationId xmlns:a16="http://schemas.microsoft.com/office/drawing/2014/main" id="{5584D937-F791-4A58-B51B-9825B6B0C224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9" name="Text Box 249">
          <a:extLst>
            <a:ext uri="{FF2B5EF4-FFF2-40B4-BE49-F238E27FC236}">
              <a16:creationId xmlns:a16="http://schemas.microsoft.com/office/drawing/2014/main" id="{A049F09F-589B-4BF3-A506-33991033F5B8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0" name="Text Box 249">
          <a:extLst>
            <a:ext uri="{FF2B5EF4-FFF2-40B4-BE49-F238E27FC236}">
              <a16:creationId xmlns:a16="http://schemas.microsoft.com/office/drawing/2014/main" id="{CB1CBECF-8808-47DF-8057-D5DAB860A626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1" name="Text Box 249">
          <a:extLst>
            <a:ext uri="{FF2B5EF4-FFF2-40B4-BE49-F238E27FC236}">
              <a16:creationId xmlns:a16="http://schemas.microsoft.com/office/drawing/2014/main" id="{F67E4364-0E83-4BB2-A3D5-0DB1581A14B1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32" name="Text Box 249">
          <a:extLst>
            <a:ext uri="{FF2B5EF4-FFF2-40B4-BE49-F238E27FC236}">
              <a16:creationId xmlns:a16="http://schemas.microsoft.com/office/drawing/2014/main" id="{96582E1A-4DF2-4A75-8236-113DF3FA7253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33" name="Text Box 249">
          <a:extLst>
            <a:ext uri="{FF2B5EF4-FFF2-40B4-BE49-F238E27FC236}">
              <a16:creationId xmlns:a16="http://schemas.microsoft.com/office/drawing/2014/main" id="{CAC07233-BD6E-45BE-8912-17777AEB7FDE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4" name="Text Box 249">
          <a:extLst>
            <a:ext uri="{FF2B5EF4-FFF2-40B4-BE49-F238E27FC236}">
              <a16:creationId xmlns:a16="http://schemas.microsoft.com/office/drawing/2014/main" id="{16738618-BBCD-4B96-A8E6-F08875371D0F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5" name="Text Box 249">
          <a:extLst>
            <a:ext uri="{FF2B5EF4-FFF2-40B4-BE49-F238E27FC236}">
              <a16:creationId xmlns:a16="http://schemas.microsoft.com/office/drawing/2014/main" id="{2CB95371-C9C4-4A0D-947E-EEC91A0F4CC8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6" name="Text Box 249">
          <a:extLst>
            <a:ext uri="{FF2B5EF4-FFF2-40B4-BE49-F238E27FC236}">
              <a16:creationId xmlns:a16="http://schemas.microsoft.com/office/drawing/2014/main" id="{4671951D-3CAF-416D-AFD6-FAE5EC351227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7" name="Text Box 249">
          <a:extLst>
            <a:ext uri="{FF2B5EF4-FFF2-40B4-BE49-F238E27FC236}">
              <a16:creationId xmlns:a16="http://schemas.microsoft.com/office/drawing/2014/main" id="{C7010F99-E64B-4A4E-888B-B9FC36620EC2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8" name="Text Box 249">
          <a:extLst>
            <a:ext uri="{FF2B5EF4-FFF2-40B4-BE49-F238E27FC236}">
              <a16:creationId xmlns:a16="http://schemas.microsoft.com/office/drawing/2014/main" id="{DF03B3DF-F3DA-4F45-9370-2458B8DC1F6D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9" name="Text Box 249">
          <a:extLst>
            <a:ext uri="{FF2B5EF4-FFF2-40B4-BE49-F238E27FC236}">
              <a16:creationId xmlns:a16="http://schemas.microsoft.com/office/drawing/2014/main" id="{51DCA08C-7064-484F-AFDF-EAAAE72D9D33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40" name="Text Box 249">
          <a:extLst>
            <a:ext uri="{FF2B5EF4-FFF2-40B4-BE49-F238E27FC236}">
              <a16:creationId xmlns:a16="http://schemas.microsoft.com/office/drawing/2014/main" id="{56649EBA-C7D8-45C5-8C82-09325DA03E7E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41" name="Text Box 249">
          <a:extLst>
            <a:ext uri="{FF2B5EF4-FFF2-40B4-BE49-F238E27FC236}">
              <a16:creationId xmlns:a16="http://schemas.microsoft.com/office/drawing/2014/main" id="{DDDAA5CB-5C23-4B48-BA19-6FB5F8C18629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2" name="Text Box 249">
          <a:extLst>
            <a:ext uri="{FF2B5EF4-FFF2-40B4-BE49-F238E27FC236}">
              <a16:creationId xmlns:a16="http://schemas.microsoft.com/office/drawing/2014/main" id="{B58AF913-2436-41B4-9237-6BF20E821808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3" name="Text Box 249">
          <a:extLst>
            <a:ext uri="{FF2B5EF4-FFF2-40B4-BE49-F238E27FC236}">
              <a16:creationId xmlns:a16="http://schemas.microsoft.com/office/drawing/2014/main" id="{A9A4C5BF-D1B2-4648-A5FE-41F536F01933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4" name="Text Box 249">
          <a:extLst>
            <a:ext uri="{FF2B5EF4-FFF2-40B4-BE49-F238E27FC236}">
              <a16:creationId xmlns:a16="http://schemas.microsoft.com/office/drawing/2014/main" id="{4764F10C-3D80-41A2-AF11-07076FCCB5CE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5" name="Text Box 249">
          <a:extLst>
            <a:ext uri="{FF2B5EF4-FFF2-40B4-BE49-F238E27FC236}">
              <a16:creationId xmlns:a16="http://schemas.microsoft.com/office/drawing/2014/main" id="{BD10BD32-8872-4015-BD77-773FE4B075C2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6" name="Text Box 249">
          <a:extLst>
            <a:ext uri="{FF2B5EF4-FFF2-40B4-BE49-F238E27FC236}">
              <a16:creationId xmlns:a16="http://schemas.microsoft.com/office/drawing/2014/main" id="{0C8A2AC3-1B82-41C6-9639-D8347F1A6BE3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7" name="Text Box 249">
          <a:extLst>
            <a:ext uri="{FF2B5EF4-FFF2-40B4-BE49-F238E27FC236}">
              <a16:creationId xmlns:a16="http://schemas.microsoft.com/office/drawing/2014/main" id="{21F9142F-07BD-49C7-B410-40651E378D37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48" name="Text Box 249">
          <a:extLst>
            <a:ext uri="{FF2B5EF4-FFF2-40B4-BE49-F238E27FC236}">
              <a16:creationId xmlns:a16="http://schemas.microsoft.com/office/drawing/2014/main" id="{40D561BC-84AF-4BB2-878F-1AFEC5C55614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49" name="Text Box 249">
          <a:extLst>
            <a:ext uri="{FF2B5EF4-FFF2-40B4-BE49-F238E27FC236}">
              <a16:creationId xmlns:a16="http://schemas.microsoft.com/office/drawing/2014/main" id="{074FADC0-E694-4933-8BC9-EF30F3C8539D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0" name="Text Box 249">
          <a:extLst>
            <a:ext uri="{FF2B5EF4-FFF2-40B4-BE49-F238E27FC236}">
              <a16:creationId xmlns:a16="http://schemas.microsoft.com/office/drawing/2014/main" id="{8105C502-AD2C-42E9-A64B-74E72115197E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1" name="Text Box 249">
          <a:extLst>
            <a:ext uri="{FF2B5EF4-FFF2-40B4-BE49-F238E27FC236}">
              <a16:creationId xmlns:a16="http://schemas.microsoft.com/office/drawing/2014/main" id="{5818218A-EBDD-4B48-B405-85B28F2D0170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2" name="Text Box 249">
          <a:extLst>
            <a:ext uri="{FF2B5EF4-FFF2-40B4-BE49-F238E27FC236}">
              <a16:creationId xmlns:a16="http://schemas.microsoft.com/office/drawing/2014/main" id="{F77D711E-7EC3-407C-BE5B-06F4B9B5C173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3" name="Text Box 249">
          <a:extLst>
            <a:ext uri="{FF2B5EF4-FFF2-40B4-BE49-F238E27FC236}">
              <a16:creationId xmlns:a16="http://schemas.microsoft.com/office/drawing/2014/main" id="{ACC0AF2F-27E7-4590-97E2-71DD1E18417B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4" name="Text Box 249">
          <a:extLst>
            <a:ext uri="{FF2B5EF4-FFF2-40B4-BE49-F238E27FC236}">
              <a16:creationId xmlns:a16="http://schemas.microsoft.com/office/drawing/2014/main" id="{81EF2701-4A72-4478-AC54-9BE4E3431F25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5" name="Text Box 249">
          <a:extLst>
            <a:ext uri="{FF2B5EF4-FFF2-40B4-BE49-F238E27FC236}">
              <a16:creationId xmlns:a16="http://schemas.microsoft.com/office/drawing/2014/main" id="{886F13A7-102F-48A1-8600-F739B45581B5}"/>
            </a:ext>
          </a:extLst>
        </xdr:cNvPr>
        <xdr:cNvSpPr txBox="1">
          <a:spLocks noChangeArrowheads="1"/>
        </xdr:cNvSpPr>
      </xdr:nvSpPr>
      <xdr:spPr bwMode="auto">
        <a:xfrm>
          <a:off x="9550101" y="99140682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56" name="Text Box 249">
          <a:extLst>
            <a:ext uri="{FF2B5EF4-FFF2-40B4-BE49-F238E27FC236}">
              <a16:creationId xmlns:a16="http://schemas.microsoft.com/office/drawing/2014/main" id="{41BE9698-003F-4AE4-8AD4-F96A13D41057}"/>
            </a:ext>
          </a:extLst>
        </xdr:cNvPr>
        <xdr:cNvSpPr txBox="1">
          <a:spLocks noChangeArrowheads="1"/>
        </xdr:cNvSpPr>
      </xdr:nvSpPr>
      <xdr:spPr bwMode="auto">
        <a:xfrm>
          <a:off x="9552641" y="99140682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57" name="Text Box 249">
          <a:extLst>
            <a:ext uri="{FF2B5EF4-FFF2-40B4-BE49-F238E27FC236}">
              <a16:creationId xmlns:a16="http://schemas.microsoft.com/office/drawing/2014/main" id="{6187045A-9BA0-4C56-9FEA-E77A1559602C}"/>
            </a:ext>
          </a:extLst>
        </xdr:cNvPr>
        <xdr:cNvSpPr txBox="1">
          <a:spLocks noChangeArrowheads="1"/>
        </xdr:cNvSpPr>
      </xdr:nvSpPr>
      <xdr:spPr bwMode="auto">
        <a:xfrm>
          <a:off x="9552641" y="10990729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58" name="Text Box 249">
          <a:extLst>
            <a:ext uri="{FF2B5EF4-FFF2-40B4-BE49-F238E27FC236}">
              <a16:creationId xmlns:a16="http://schemas.microsoft.com/office/drawing/2014/main" id="{1424A08E-0193-4FCD-B66F-C277091EAD08}"/>
            </a:ext>
          </a:extLst>
        </xdr:cNvPr>
        <xdr:cNvSpPr txBox="1">
          <a:spLocks noChangeArrowheads="1"/>
        </xdr:cNvSpPr>
      </xdr:nvSpPr>
      <xdr:spPr bwMode="auto">
        <a:xfrm>
          <a:off x="9550101" y="10990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59" name="Text Box 249">
          <a:extLst>
            <a:ext uri="{FF2B5EF4-FFF2-40B4-BE49-F238E27FC236}">
              <a16:creationId xmlns:a16="http://schemas.microsoft.com/office/drawing/2014/main" id="{A821D9B6-81AC-43B4-BEAF-96D6AF42A682}"/>
            </a:ext>
          </a:extLst>
        </xdr:cNvPr>
        <xdr:cNvSpPr txBox="1">
          <a:spLocks noChangeArrowheads="1"/>
        </xdr:cNvSpPr>
      </xdr:nvSpPr>
      <xdr:spPr bwMode="auto">
        <a:xfrm>
          <a:off x="9550101" y="10990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0" name="Text Box 249">
          <a:extLst>
            <a:ext uri="{FF2B5EF4-FFF2-40B4-BE49-F238E27FC236}">
              <a16:creationId xmlns:a16="http://schemas.microsoft.com/office/drawing/2014/main" id="{792F1C05-C205-40F8-A27E-6F5ADD867915}"/>
            </a:ext>
          </a:extLst>
        </xdr:cNvPr>
        <xdr:cNvSpPr txBox="1">
          <a:spLocks noChangeArrowheads="1"/>
        </xdr:cNvSpPr>
      </xdr:nvSpPr>
      <xdr:spPr bwMode="auto">
        <a:xfrm>
          <a:off x="9550101" y="10990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1" name="Text Box 249">
          <a:extLst>
            <a:ext uri="{FF2B5EF4-FFF2-40B4-BE49-F238E27FC236}">
              <a16:creationId xmlns:a16="http://schemas.microsoft.com/office/drawing/2014/main" id="{87E9F494-5FF7-4D86-A12C-D76BEA6F5AB4}"/>
            </a:ext>
          </a:extLst>
        </xdr:cNvPr>
        <xdr:cNvSpPr txBox="1">
          <a:spLocks noChangeArrowheads="1"/>
        </xdr:cNvSpPr>
      </xdr:nvSpPr>
      <xdr:spPr bwMode="auto">
        <a:xfrm>
          <a:off x="9550101" y="10990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2" name="Text Box 249">
          <a:extLst>
            <a:ext uri="{FF2B5EF4-FFF2-40B4-BE49-F238E27FC236}">
              <a16:creationId xmlns:a16="http://schemas.microsoft.com/office/drawing/2014/main" id="{0BE195B9-56D5-4950-A8A6-741F58EB2047}"/>
            </a:ext>
          </a:extLst>
        </xdr:cNvPr>
        <xdr:cNvSpPr txBox="1">
          <a:spLocks noChangeArrowheads="1"/>
        </xdr:cNvSpPr>
      </xdr:nvSpPr>
      <xdr:spPr bwMode="auto">
        <a:xfrm>
          <a:off x="9550101" y="10990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3" name="Text Box 249">
          <a:extLst>
            <a:ext uri="{FF2B5EF4-FFF2-40B4-BE49-F238E27FC236}">
              <a16:creationId xmlns:a16="http://schemas.microsoft.com/office/drawing/2014/main" id="{5F611A61-52A1-4240-B587-9A9FB720798B}"/>
            </a:ext>
          </a:extLst>
        </xdr:cNvPr>
        <xdr:cNvSpPr txBox="1">
          <a:spLocks noChangeArrowheads="1"/>
        </xdr:cNvSpPr>
      </xdr:nvSpPr>
      <xdr:spPr bwMode="auto">
        <a:xfrm>
          <a:off x="9550101" y="10990729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864" name="Text Box 249">
          <a:extLst>
            <a:ext uri="{FF2B5EF4-FFF2-40B4-BE49-F238E27FC236}">
              <a16:creationId xmlns:a16="http://schemas.microsoft.com/office/drawing/2014/main" id="{68998E6A-42E2-480E-92C0-77EDED2238D1}"/>
            </a:ext>
          </a:extLst>
        </xdr:cNvPr>
        <xdr:cNvSpPr txBox="1">
          <a:spLocks noChangeArrowheads="1"/>
        </xdr:cNvSpPr>
      </xdr:nvSpPr>
      <xdr:spPr bwMode="auto">
        <a:xfrm>
          <a:off x="9552641" y="10990729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65" name="Text Box 249">
          <a:extLst>
            <a:ext uri="{FF2B5EF4-FFF2-40B4-BE49-F238E27FC236}">
              <a16:creationId xmlns:a16="http://schemas.microsoft.com/office/drawing/2014/main" id="{608F9705-416D-434D-BB43-EC7354E344FC}"/>
            </a:ext>
          </a:extLst>
        </xdr:cNvPr>
        <xdr:cNvSpPr txBox="1">
          <a:spLocks noChangeArrowheads="1"/>
        </xdr:cNvSpPr>
      </xdr:nvSpPr>
      <xdr:spPr bwMode="auto">
        <a:xfrm>
          <a:off x="9552641" y="11331388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6" name="Text Box 249">
          <a:extLst>
            <a:ext uri="{FF2B5EF4-FFF2-40B4-BE49-F238E27FC236}">
              <a16:creationId xmlns:a16="http://schemas.microsoft.com/office/drawing/2014/main" id="{85B0C3B0-AD89-4500-9BA7-B9422FC4F530}"/>
            </a:ext>
          </a:extLst>
        </xdr:cNvPr>
        <xdr:cNvSpPr txBox="1">
          <a:spLocks noChangeArrowheads="1"/>
        </xdr:cNvSpPr>
      </xdr:nvSpPr>
      <xdr:spPr bwMode="auto">
        <a:xfrm>
          <a:off x="9550101" y="11331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7" name="Text Box 249">
          <a:extLst>
            <a:ext uri="{FF2B5EF4-FFF2-40B4-BE49-F238E27FC236}">
              <a16:creationId xmlns:a16="http://schemas.microsoft.com/office/drawing/2014/main" id="{B7A26EEA-8B2D-4E22-876B-5058AAC9B9ED}"/>
            </a:ext>
          </a:extLst>
        </xdr:cNvPr>
        <xdr:cNvSpPr txBox="1">
          <a:spLocks noChangeArrowheads="1"/>
        </xdr:cNvSpPr>
      </xdr:nvSpPr>
      <xdr:spPr bwMode="auto">
        <a:xfrm>
          <a:off x="9550101" y="11331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8" name="Text Box 249">
          <a:extLst>
            <a:ext uri="{FF2B5EF4-FFF2-40B4-BE49-F238E27FC236}">
              <a16:creationId xmlns:a16="http://schemas.microsoft.com/office/drawing/2014/main" id="{1C054EF2-E1B7-4035-9531-4E4E12095F97}"/>
            </a:ext>
          </a:extLst>
        </xdr:cNvPr>
        <xdr:cNvSpPr txBox="1">
          <a:spLocks noChangeArrowheads="1"/>
        </xdr:cNvSpPr>
      </xdr:nvSpPr>
      <xdr:spPr bwMode="auto">
        <a:xfrm>
          <a:off x="9550101" y="11331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9" name="Text Box 249">
          <a:extLst>
            <a:ext uri="{FF2B5EF4-FFF2-40B4-BE49-F238E27FC236}">
              <a16:creationId xmlns:a16="http://schemas.microsoft.com/office/drawing/2014/main" id="{F34E4677-1ECE-4471-A515-F843C0381ED7}"/>
            </a:ext>
          </a:extLst>
        </xdr:cNvPr>
        <xdr:cNvSpPr txBox="1">
          <a:spLocks noChangeArrowheads="1"/>
        </xdr:cNvSpPr>
      </xdr:nvSpPr>
      <xdr:spPr bwMode="auto">
        <a:xfrm>
          <a:off x="9550101" y="11331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0" name="Text Box 249">
          <a:extLst>
            <a:ext uri="{FF2B5EF4-FFF2-40B4-BE49-F238E27FC236}">
              <a16:creationId xmlns:a16="http://schemas.microsoft.com/office/drawing/2014/main" id="{7CD98522-3CF4-48A5-B917-36288559EA4B}"/>
            </a:ext>
          </a:extLst>
        </xdr:cNvPr>
        <xdr:cNvSpPr txBox="1">
          <a:spLocks noChangeArrowheads="1"/>
        </xdr:cNvSpPr>
      </xdr:nvSpPr>
      <xdr:spPr bwMode="auto">
        <a:xfrm>
          <a:off x="9550101" y="11331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1" name="Text Box 249">
          <a:extLst>
            <a:ext uri="{FF2B5EF4-FFF2-40B4-BE49-F238E27FC236}">
              <a16:creationId xmlns:a16="http://schemas.microsoft.com/office/drawing/2014/main" id="{6A3A0068-6EAE-4199-9781-878B4754AC72}"/>
            </a:ext>
          </a:extLst>
        </xdr:cNvPr>
        <xdr:cNvSpPr txBox="1">
          <a:spLocks noChangeArrowheads="1"/>
        </xdr:cNvSpPr>
      </xdr:nvSpPr>
      <xdr:spPr bwMode="auto">
        <a:xfrm>
          <a:off x="9550101" y="11331388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872" name="Text Box 249">
          <a:extLst>
            <a:ext uri="{FF2B5EF4-FFF2-40B4-BE49-F238E27FC236}">
              <a16:creationId xmlns:a16="http://schemas.microsoft.com/office/drawing/2014/main" id="{4CB61400-6290-4B19-A848-32A4EC2A680A}"/>
            </a:ext>
          </a:extLst>
        </xdr:cNvPr>
        <xdr:cNvSpPr txBox="1">
          <a:spLocks noChangeArrowheads="1"/>
        </xdr:cNvSpPr>
      </xdr:nvSpPr>
      <xdr:spPr bwMode="auto">
        <a:xfrm>
          <a:off x="9552641" y="11331388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73" name="Text Box 249">
          <a:extLst>
            <a:ext uri="{FF2B5EF4-FFF2-40B4-BE49-F238E27FC236}">
              <a16:creationId xmlns:a16="http://schemas.microsoft.com/office/drawing/2014/main" id="{93E92E45-8586-4192-9796-DD8522270A7C}"/>
            </a:ext>
          </a:extLst>
        </xdr:cNvPr>
        <xdr:cNvSpPr txBox="1">
          <a:spLocks noChangeArrowheads="1"/>
        </xdr:cNvSpPr>
      </xdr:nvSpPr>
      <xdr:spPr bwMode="auto">
        <a:xfrm>
          <a:off x="9552641" y="1184237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4" name="Text Box 249">
          <a:extLst>
            <a:ext uri="{FF2B5EF4-FFF2-40B4-BE49-F238E27FC236}">
              <a16:creationId xmlns:a16="http://schemas.microsoft.com/office/drawing/2014/main" id="{FC8A876A-96EC-455A-9813-C1451ED30985}"/>
            </a:ext>
          </a:extLst>
        </xdr:cNvPr>
        <xdr:cNvSpPr txBox="1">
          <a:spLocks noChangeArrowheads="1"/>
        </xdr:cNvSpPr>
      </xdr:nvSpPr>
      <xdr:spPr bwMode="auto">
        <a:xfrm>
          <a:off x="9550101" y="118423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5" name="Text Box 249">
          <a:extLst>
            <a:ext uri="{FF2B5EF4-FFF2-40B4-BE49-F238E27FC236}">
              <a16:creationId xmlns:a16="http://schemas.microsoft.com/office/drawing/2014/main" id="{AC4EA91C-B98B-40E8-A5D6-111CD80AB039}"/>
            </a:ext>
          </a:extLst>
        </xdr:cNvPr>
        <xdr:cNvSpPr txBox="1">
          <a:spLocks noChangeArrowheads="1"/>
        </xdr:cNvSpPr>
      </xdr:nvSpPr>
      <xdr:spPr bwMode="auto">
        <a:xfrm>
          <a:off x="9550101" y="118423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6" name="Text Box 249">
          <a:extLst>
            <a:ext uri="{FF2B5EF4-FFF2-40B4-BE49-F238E27FC236}">
              <a16:creationId xmlns:a16="http://schemas.microsoft.com/office/drawing/2014/main" id="{A328E4BC-A138-4D11-B7D8-425843BD0EEC}"/>
            </a:ext>
          </a:extLst>
        </xdr:cNvPr>
        <xdr:cNvSpPr txBox="1">
          <a:spLocks noChangeArrowheads="1"/>
        </xdr:cNvSpPr>
      </xdr:nvSpPr>
      <xdr:spPr bwMode="auto">
        <a:xfrm>
          <a:off x="9550101" y="118423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7" name="Text Box 249">
          <a:extLst>
            <a:ext uri="{FF2B5EF4-FFF2-40B4-BE49-F238E27FC236}">
              <a16:creationId xmlns:a16="http://schemas.microsoft.com/office/drawing/2014/main" id="{ABE97AE5-E285-42C5-BC2F-6565809EC54C}"/>
            </a:ext>
          </a:extLst>
        </xdr:cNvPr>
        <xdr:cNvSpPr txBox="1">
          <a:spLocks noChangeArrowheads="1"/>
        </xdr:cNvSpPr>
      </xdr:nvSpPr>
      <xdr:spPr bwMode="auto">
        <a:xfrm>
          <a:off x="9550101" y="118423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8" name="Text Box 249">
          <a:extLst>
            <a:ext uri="{FF2B5EF4-FFF2-40B4-BE49-F238E27FC236}">
              <a16:creationId xmlns:a16="http://schemas.microsoft.com/office/drawing/2014/main" id="{A7E3757D-9056-4095-B4E6-7F2A7B6B12F8}"/>
            </a:ext>
          </a:extLst>
        </xdr:cNvPr>
        <xdr:cNvSpPr txBox="1">
          <a:spLocks noChangeArrowheads="1"/>
        </xdr:cNvSpPr>
      </xdr:nvSpPr>
      <xdr:spPr bwMode="auto">
        <a:xfrm>
          <a:off x="9550101" y="118423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9" name="Text Box 249">
          <a:extLst>
            <a:ext uri="{FF2B5EF4-FFF2-40B4-BE49-F238E27FC236}">
              <a16:creationId xmlns:a16="http://schemas.microsoft.com/office/drawing/2014/main" id="{7346E320-370F-48D5-BDEE-67DCCE567C36}"/>
            </a:ext>
          </a:extLst>
        </xdr:cNvPr>
        <xdr:cNvSpPr txBox="1">
          <a:spLocks noChangeArrowheads="1"/>
        </xdr:cNvSpPr>
      </xdr:nvSpPr>
      <xdr:spPr bwMode="auto">
        <a:xfrm>
          <a:off x="9550101" y="118423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880" name="Text Box 249">
          <a:extLst>
            <a:ext uri="{FF2B5EF4-FFF2-40B4-BE49-F238E27FC236}">
              <a16:creationId xmlns:a16="http://schemas.microsoft.com/office/drawing/2014/main" id="{DF985EA5-1497-4401-BC3C-C2ED2FC850E3}"/>
            </a:ext>
          </a:extLst>
        </xdr:cNvPr>
        <xdr:cNvSpPr txBox="1">
          <a:spLocks noChangeArrowheads="1"/>
        </xdr:cNvSpPr>
      </xdr:nvSpPr>
      <xdr:spPr bwMode="auto">
        <a:xfrm>
          <a:off x="9552641" y="1184237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81" name="Text Box 249">
          <a:extLst>
            <a:ext uri="{FF2B5EF4-FFF2-40B4-BE49-F238E27FC236}">
              <a16:creationId xmlns:a16="http://schemas.microsoft.com/office/drawing/2014/main" id="{A56D125F-94A4-407F-9897-7712722580EF}"/>
            </a:ext>
          </a:extLst>
        </xdr:cNvPr>
        <xdr:cNvSpPr txBox="1">
          <a:spLocks noChangeArrowheads="1"/>
        </xdr:cNvSpPr>
      </xdr:nvSpPr>
      <xdr:spPr bwMode="auto">
        <a:xfrm>
          <a:off x="9552641" y="1218303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2" name="Text Box 249">
          <a:extLst>
            <a:ext uri="{FF2B5EF4-FFF2-40B4-BE49-F238E27FC236}">
              <a16:creationId xmlns:a16="http://schemas.microsoft.com/office/drawing/2014/main" id="{F4EB4768-767E-4C59-B368-70CB55E4AF6F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3" name="Text Box 249">
          <a:extLst>
            <a:ext uri="{FF2B5EF4-FFF2-40B4-BE49-F238E27FC236}">
              <a16:creationId xmlns:a16="http://schemas.microsoft.com/office/drawing/2014/main" id="{2C7D7D13-A8EA-40BF-BC95-9266F47B86D4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4" name="Text Box 249">
          <a:extLst>
            <a:ext uri="{FF2B5EF4-FFF2-40B4-BE49-F238E27FC236}">
              <a16:creationId xmlns:a16="http://schemas.microsoft.com/office/drawing/2014/main" id="{1B45DFFA-0B1F-45E3-842C-298AEF218580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5" name="Text Box 249">
          <a:extLst>
            <a:ext uri="{FF2B5EF4-FFF2-40B4-BE49-F238E27FC236}">
              <a16:creationId xmlns:a16="http://schemas.microsoft.com/office/drawing/2014/main" id="{F243AE7A-11D2-4224-9FF2-FF293981F596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6" name="Text Box 249">
          <a:extLst>
            <a:ext uri="{FF2B5EF4-FFF2-40B4-BE49-F238E27FC236}">
              <a16:creationId xmlns:a16="http://schemas.microsoft.com/office/drawing/2014/main" id="{EA94823C-A13E-485A-8B4F-3349B46EF4C5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7" name="Text Box 249">
          <a:extLst>
            <a:ext uri="{FF2B5EF4-FFF2-40B4-BE49-F238E27FC236}">
              <a16:creationId xmlns:a16="http://schemas.microsoft.com/office/drawing/2014/main" id="{40902F3B-6255-4B9F-A1F2-2B2F5EFBB7B0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888" name="Text Box 249">
          <a:extLst>
            <a:ext uri="{FF2B5EF4-FFF2-40B4-BE49-F238E27FC236}">
              <a16:creationId xmlns:a16="http://schemas.microsoft.com/office/drawing/2014/main" id="{AD7A370B-8639-4D2C-B339-764782AC97C6}"/>
            </a:ext>
          </a:extLst>
        </xdr:cNvPr>
        <xdr:cNvSpPr txBox="1">
          <a:spLocks noChangeArrowheads="1"/>
        </xdr:cNvSpPr>
      </xdr:nvSpPr>
      <xdr:spPr bwMode="auto">
        <a:xfrm>
          <a:off x="9552641" y="1218303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89" name="Text Box 249">
          <a:extLst>
            <a:ext uri="{FF2B5EF4-FFF2-40B4-BE49-F238E27FC236}">
              <a16:creationId xmlns:a16="http://schemas.microsoft.com/office/drawing/2014/main" id="{10D07C38-FE4D-4884-827E-F446CC925761}"/>
            </a:ext>
          </a:extLst>
        </xdr:cNvPr>
        <xdr:cNvSpPr txBox="1">
          <a:spLocks noChangeArrowheads="1"/>
        </xdr:cNvSpPr>
      </xdr:nvSpPr>
      <xdr:spPr bwMode="auto">
        <a:xfrm>
          <a:off x="9552641" y="1235336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0" name="Text Box 249">
          <a:extLst>
            <a:ext uri="{FF2B5EF4-FFF2-40B4-BE49-F238E27FC236}">
              <a16:creationId xmlns:a16="http://schemas.microsoft.com/office/drawing/2014/main" id="{0D075281-3710-4EEF-B3D4-6EFB82075CF5}"/>
            </a:ext>
          </a:extLst>
        </xdr:cNvPr>
        <xdr:cNvSpPr txBox="1">
          <a:spLocks noChangeArrowheads="1"/>
        </xdr:cNvSpPr>
      </xdr:nvSpPr>
      <xdr:spPr bwMode="auto">
        <a:xfrm>
          <a:off x="9550101" y="123533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1" name="Text Box 249">
          <a:extLst>
            <a:ext uri="{FF2B5EF4-FFF2-40B4-BE49-F238E27FC236}">
              <a16:creationId xmlns:a16="http://schemas.microsoft.com/office/drawing/2014/main" id="{F7DF8D7A-0198-45FB-B5A1-5C70235B00B3}"/>
            </a:ext>
          </a:extLst>
        </xdr:cNvPr>
        <xdr:cNvSpPr txBox="1">
          <a:spLocks noChangeArrowheads="1"/>
        </xdr:cNvSpPr>
      </xdr:nvSpPr>
      <xdr:spPr bwMode="auto">
        <a:xfrm>
          <a:off x="9550101" y="123533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2" name="Text Box 249">
          <a:extLst>
            <a:ext uri="{FF2B5EF4-FFF2-40B4-BE49-F238E27FC236}">
              <a16:creationId xmlns:a16="http://schemas.microsoft.com/office/drawing/2014/main" id="{65874702-1FD3-412F-83F8-1323D000BCA4}"/>
            </a:ext>
          </a:extLst>
        </xdr:cNvPr>
        <xdr:cNvSpPr txBox="1">
          <a:spLocks noChangeArrowheads="1"/>
        </xdr:cNvSpPr>
      </xdr:nvSpPr>
      <xdr:spPr bwMode="auto">
        <a:xfrm>
          <a:off x="9550101" y="123533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3" name="Text Box 249">
          <a:extLst>
            <a:ext uri="{FF2B5EF4-FFF2-40B4-BE49-F238E27FC236}">
              <a16:creationId xmlns:a16="http://schemas.microsoft.com/office/drawing/2014/main" id="{644C77F6-FF92-41E7-BE80-0FAF60DA270A}"/>
            </a:ext>
          </a:extLst>
        </xdr:cNvPr>
        <xdr:cNvSpPr txBox="1">
          <a:spLocks noChangeArrowheads="1"/>
        </xdr:cNvSpPr>
      </xdr:nvSpPr>
      <xdr:spPr bwMode="auto">
        <a:xfrm>
          <a:off x="9550101" y="123533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4" name="Text Box 249">
          <a:extLst>
            <a:ext uri="{FF2B5EF4-FFF2-40B4-BE49-F238E27FC236}">
              <a16:creationId xmlns:a16="http://schemas.microsoft.com/office/drawing/2014/main" id="{66C3E885-99E7-4BFB-B47A-5C66E791A82B}"/>
            </a:ext>
          </a:extLst>
        </xdr:cNvPr>
        <xdr:cNvSpPr txBox="1">
          <a:spLocks noChangeArrowheads="1"/>
        </xdr:cNvSpPr>
      </xdr:nvSpPr>
      <xdr:spPr bwMode="auto">
        <a:xfrm>
          <a:off x="9550101" y="123533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5" name="Text Box 249">
          <a:extLst>
            <a:ext uri="{FF2B5EF4-FFF2-40B4-BE49-F238E27FC236}">
              <a16:creationId xmlns:a16="http://schemas.microsoft.com/office/drawing/2014/main" id="{7BD65702-86F9-410E-8BE3-1A5498DBA0F8}"/>
            </a:ext>
          </a:extLst>
        </xdr:cNvPr>
        <xdr:cNvSpPr txBox="1">
          <a:spLocks noChangeArrowheads="1"/>
        </xdr:cNvSpPr>
      </xdr:nvSpPr>
      <xdr:spPr bwMode="auto">
        <a:xfrm>
          <a:off x="9550101" y="123533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896" name="Text Box 249">
          <a:extLst>
            <a:ext uri="{FF2B5EF4-FFF2-40B4-BE49-F238E27FC236}">
              <a16:creationId xmlns:a16="http://schemas.microsoft.com/office/drawing/2014/main" id="{71CFA8BC-3248-44C3-899A-D3FB92EFD3C9}"/>
            </a:ext>
          </a:extLst>
        </xdr:cNvPr>
        <xdr:cNvSpPr txBox="1">
          <a:spLocks noChangeArrowheads="1"/>
        </xdr:cNvSpPr>
      </xdr:nvSpPr>
      <xdr:spPr bwMode="auto">
        <a:xfrm>
          <a:off x="9552641" y="1235336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97" name="Text Box 249">
          <a:extLst>
            <a:ext uri="{FF2B5EF4-FFF2-40B4-BE49-F238E27FC236}">
              <a16:creationId xmlns:a16="http://schemas.microsoft.com/office/drawing/2014/main" id="{08DC01B7-0FA3-46D4-820E-5814CC464476}"/>
            </a:ext>
          </a:extLst>
        </xdr:cNvPr>
        <xdr:cNvSpPr txBox="1">
          <a:spLocks noChangeArrowheads="1"/>
        </xdr:cNvSpPr>
      </xdr:nvSpPr>
      <xdr:spPr bwMode="auto">
        <a:xfrm>
          <a:off x="9552641" y="1218303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8" name="Text Box 249">
          <a:extLst>
            <a:ext uri="{FF2B5EF4-FFF2-40B4-BE49-F238E27FC236}">
              <a16:creationId xmlns:a16="http://schemas.microsoft.com/office/drawing/2014/main" id="{2FC9EB48-25F8-47D2-AA19-3E9E5976B68E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9" name="Text Box 249">
          <a:extLst>
            <a:ext uri="{FF2B5EF4-FFF2-40B4-BE49-F238E27FC236}">
              <a16:creationId xmlns:a16="http://schemas.microsoft.com/office/drawing/2014/main" id="{567ECC7C-1229-4A12-BB19-86DF45058AB8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0" name="Text Box 249">
          <a:extLst>
            <a:ext uri="{FF2B5EF4-FFF2-40B4-BE49-F238E27FC236}">
              <a16:creationId xmlns:a16="http://schemas.microsoft.com/office/drawing/2014/main" id="{DAE30C23-D63B-4058-B7AD-095056EA77DA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1" name="Text Box 249">
          <a:extLst>
            <a:ext uri="{FF2B5EF4-FFF2-40B4-BE49-F238E27FC236}">
              <a16:creationId xmlns:a16="http://schemas.microsoft.com/office/drawing/2014/main" id="{0BFFFA85-1320-4DB7-A4C0-59E710B4D9AB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2" name="Text Box 249">
          <a:extLst>
            <a:ext uri="{FF2B5EF4-FFF2-40B4-BE49-F238E27FC236}">
              <a16:creationId xmlns:a16="http://schemas.microsoft.com/office/drawing/2014/main" id="{0C8F732D-CB2D-43F8-BF3A-693170EC159F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3" name="Text Box 249">
          <a:extLst>
            <a:ext uri="{FF2B5EF4-FFF2-40B4-BE49-F238E27FC236}">
              <a16:creationId xmlns:a16="http://schemas.microsoft.com/office/drawing/2014/main" id="{7CDF4476-C56B-427B-8B2D-D37C178C81F5}"/>
            </a:ext>
          </a:extLst>
        </xdr:cNvPr>
        <xdr:cNvSpPr txBox="1">
          <a:spLocks noChangeArrowheads="1"/>
        </xdr:cNvSpPr>
      </xdr:nvSpPr>
      <xdr:spPr bwMode="auto">
        <a:xfrm>
          <a:off x="9550101" y="1218303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904" name="Text Box 249">
          <a:extLst>
            <a:ext uri="{FF2B5EF4-FFF2-40B4-BE49-F238E27FC236}">
              <a16:creationId xmlns:a16="http://schemas.microsoft.com/office/drawing/2014/main" id="{63300004-53EC-428E-BDED-C21D3CDD81FC}"/>
            </a:ext>
          </a:extLst>
        </xdr:cNvPr>
        <xdr:cNvSpPr txBox="1">
          <a:spLocks noChangeArrowheads="1"/>
        </xdr:cNvSpPr>
      </xdr:nvSpPr>
      <xdr:spPr bwMode="auto">
        <a:xfrm>
          <a:off x="9552641" y="1218303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905" name="Text Box 249">
          <a:extLst>
            <a:ext uri="{FF2B5EF4-FFF2-40B4-BE49-F238E27FC236}">
              <a16:creationId xmlns:a16="http://schemas.microsoft.com/office/drawing/2014/main" id="{385D5A78-66B2-4F8C-BDD2-B780F5340189}"/>
            </a:ext>
          </a:extLst>
        </xdr:cNvPr>
        <xdr:cNvSpPr txBox="1">
          <a:spLocks noChangeArrowheads="1"/>
        </xdr:cNvSpPr>
      </xdr:nvSpPr>
      <xdr:spPr bwMode="auto">
        <a:xfrm>
          <a:off x="9552641" y="12694024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6" name="Text Box 249">
          <a:extLst>
            <a:ext uri="{FF2B5EF4-FFF2-40B4-BE49-F238E27FC236}">
              <a16:creationId xmlns:a16="http://schemas.microsoft.com/office/drawing/2014/main" id="{800AEA4B-84EA-4F0C-BC43-04E1A147EF44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7" name="Text Box 249">
          <a:extLst>
            <a:ext uri="{FF2B5EF4-FFF2-40B4-BE49-F238E27FC236}">
              <a16:creationId xmlns:a16="http://schemas.microsoft.com/office/drawing/2014/main" id="{A07E651F-2E57-43FD-8217-7BBC50CCA5A1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8" name="Text Box 249">
          <a:extLst>
            <a:ext uri="{FF2B5EF4-FFF2-40B4-BE49-F238E27FC236}">
              <a16:creationId xmlns:a16="http://schemas.microsoft.com/office/drawing/2014/main" id="{143A82AB-D8B2-46EE-9C42-A7EA27E9DD28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9" name="Text Box 249">
          <a:extLst>
            <a:ext uri="{FF2B5EF4-FFF2-40B4-BE49-F238E27FC236}">
              <a16:creationId xmlns:a16="http://schemas.microsoft.com/office/drawing/2014/main" id="{8BA21703-9687-4638-B8A4-E0F38364B15B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0" name="Text Box 249">
          <a:extLst>
            <a:ext uri="{FF2B5EF4-FFF2-40B4-BE49-F238E27FC236}">
              <a16:creationId xmlns:a16="http://schemas.microsoft.com/office/drawing/2014/main" id="{BA6C4EF2-3443-49C3-9FB6-DA920F238C92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1" name="Text Box 249">
          <a:extLst>
            <a:ext uri="{FF2B5EF4-FFF2-40B4-BE49-F238E27FC236}">
              <a16:creationId xmlns:a16="http://schemas.microsoft.com/office/drawing/2014/main" id="{1E719E6C-47DD-4049-A0E1-0EFF3CEACC1C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912" name="Text Box 249">
          <a:extLst>
            <a:ext uri="{FF2B5EF4-FFF2-40B4-BE49-F238E27FC236}">
              <a16:creationId xmlns:a16="http://schemas.microsoft.com/office/drawing/2014/main" id="{9CC2F590-D090-4D9E-A16D-4881D8354A03}"/>
            </a:ext>
          </a:extLst>
        </xdr:cNvPr>
        <xdr:cNvSpPr txBox="1">
          <a:spLocks noChangeArrowheads="1"/>
        </xdr:cNvSpPr>
      </xdr:nvSpPr>
      <xdr:spPr bwMode="auto">
        <a:xfrm>
          <a:off x="9552641" y="12694024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913" name="Text Box 249">
          <a:extLst>
            <a:ext uri="{FF2B5EF4-FFF2-40B4-BE49-F238E27FC236}">
              <a16:creationId xmlns:a16="http://schemas.microsoft.com/office/drawing/2014/main" id="{B0B19318-5640-47B0-8236-2791A2FA764F}"/>
            </a:ext>
          </a:extLst>
        </xdr:cNvPr>
        <xdr:cNvSpPr txBox="1">
          <a:spLocks noChangeArrowheads="1"/>
        </xdr:cNvSpPr>
      </xdr:nvSpPr>
      <xdr:spPr bwMode="auto">
        <a:xfrm>
          <a:off x="9552641" y="12694024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4" name="Text Box 249">
          <a:extLst>
            <a:ext uri="{FF2B5EF4-FFF2-40B4-BE49-F238E27FC236}">
              <a16:creationId xmlns:a16="http://schemas.microsoft.com/office/drawing/2014/main" id="{0CCB7F20-139A-4278-B911-60EC5F601E92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5" name="Text Box 249">
          <a:extLst>
            <a:ext uri="{FF2B5EF4-FFF2-40B4-BE49-F238E27FC236}">
              <a16:creationId xmlns:a16="http://schemas.microsoft.com/office/drawing/2014/main" id="{F25C1AE4-A900-47B6-BEE9-B96F4F5D2A94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6" name="Text Box 249">
          <a:extLst>
            <a:ext uri="{FF2B5EF4-FFF2-40B4-BE49-F238E27FC236}">
              <a16:creationId xmlns:a16="http://schemas.microsoft.com/office/drawing/2014/main" id="{439B4E43-2D8E-4B2A-A8B6-0EB97862DC87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7" name="Text Box 249">
          <a:extLst>
            <a:ext uri="{FF2B5EF4-FFF2-40B4-BE49-F238E27FC236}">
              <a16:creationId xmlns:a16="http://schemas.microsoft.com/office/drawing/2014/main" id="{128C7DF4-0B95-4693-B348-5314993195BA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8" name="Text Box 249">
          <a:extLst>
            <a:ext uri="{FF2B5EF4-FFF2-40B4-BE49-F238E27FC236}">
              <a16:creationId xmlns:a16="http://schemas.microsoft.com/office/drawing/2014/main" id="{46B1FA46-FA1C-4703-8651-0A23FEE739F0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9" name="Text Box 249">
          <a:extLst>
            <a:ext uri="{FF2B5EF4-FFF2-40B4-BE49-F238E27FC236}">
              <a16:creationId xmlns:a16="http://schemas.microsoft.com/office/drawing/2014/main" id="{8769750E-D5E2-471B-B2ED-E41F26745126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920" name="Text Box 249">
          <a:extLst>
            <a:ext uri="{FF2B5EF4-FFF2-40B4-BE49-F238E27FC236}">
              <a16:creationId xmlns:a16="http://schemas.microsoft.com/office/drawing/2014/main" id="{5E7B2993-9F64-4439-AC8F-26AA154713F4}"/>
            </a:ext>
          </a:extLst>
        </xdr:cNvPr>
        <xdr:cNvSpPr txBox="1">
          <a:spLocks noChangeArrowheads="1"/>
        </xdr:cNvSpPr>
      </xdr:nvSpPr>
      <xdr:spPr bwMode="auto">
        <a:xfrm>
          <a:off x="9552641" y="12694024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98</xdr:row>
      <xdr:rowOff>0</xdr:rowOff>
    </xdr:from>
    <xdr:ext cx="117326" cy="218324"/>
    <xdr:sp macro="" textlink="">
      <xdr:nvSpPr>
        <xdr:cNvPr id="921" name="Text Box 249">
          <a:extLst>
            <a:ext uri="{FF2B5EF4-FFF2-40B4-BE49-F238E27FC236}">
              <a16:creationId xmlns:a16="http://schemas.microsoft.com/office/drawing/2014/main" id="{E2260A9C-3479-40AB-911C-B4FD88A91249}"/>
            </a:ext>
          </a:extLst>
        </xdr:cNvPr>
        <xdr:cNvSpPr txBox="1">
          <a:spLocks noChangeArrowheads="1"/>
        </xdr:cNvSpPr>
      </xdr:nvSpPr>
      <xdr:spPr bwMode="auto">
        <a:xfrm>
          <a:off x="9552641" y="12694024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2" name="Text Box 249">
          <a:extLst>
            <a:ext uri="{FF2B5EF4-FFF2-40B4-BE49-F238E27FC236}">
              <a16:creationId xmlns:a16="http://schemas.microsoft.com/office/drawing/2014/main" id="{2D93E9B6-397E-4480-A190-792FCFE07C70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3" name="Text Box 249">
          <a:extLst>
            <a:ext uri="{FF2B5EF4-FFF2-40B4-BE49-F238E27FC236}">
              <a16:creationId xmlns:a16="http://schemas.microsoft.com/office/drawing/2014/main" id="{E39F8B2D-3982-422E-9840-29B4196CC2C1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4" name="Text Box 249">
          <a:extLst>
            <a:ext uri="{FF2B5EF4-FFF2-40B4-BE49-F238E27FC236}">
              <a16:creationId xmlns:a16="http://schemas.microsoft.com/office/drawing/2014/main" id="{9EF3961F-C0F0-48D5-A214-7889E0B5FC70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5" name="Text Box 249">
          <a:extLst>
            <a:ext uri="{FF2B5EF4-FFF2-40B4-BE49-F238E27FC236}">
              <a16:creationId xmlns:a16="http://schemas.microsoft.com/office/drawing/2014/main" id="{7868040C-E7AB-43E5-9221-4DCF55FB8D2D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6" name="Text Box 249">
          <a:extLst>
            <a:ext uri="{FF2B5EF4-FFF2-40B4-BE49-F238E27FC236}">
              <a16:creationId xmlns:a16="http://schemas.microsoft.com/office/drawing/2014/main" id="{C56F680C-06F5-400B-84FE-A4493EAE8F57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7" name="Text Box 249">
          <a:extLst>
            <a:ext uri="{FF2B5EF4-FFF2-40B4-BE49-F238E27FC236}">
              <a16:creationId xmlns:a16="http://schemas.microsoft.com/office/drawing/2014/main" id="{A2A0F72E-E625-41E7-88ED-01A3AEF6479B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98</xdr:row>
      <xdr:rowOff>0</xdr:rowOff>
    </xdr:from>
    <xdr:ext cx="104775" cy="210011"/>
    <xdr:sp macro="" textlink="">
      <xdr:nvSpPr>
        <xdr:cNvPr id="928" name="Text Box 249">
          <a:extLst>
            <a:ext uri="{FF2B5EF4-FFF2-40B4-BE49-F238E27FC236}">
              <a16:creationId xmlns:a16="http://schemas.microsoft.com/office/drawing/2014/main" id="{93680B8D-5463-4EE9-8098-D193138D2400}"/>
            </a:ext>
          </a:extLst>
        </xdr:cNvPr>
        <xdr:cNvSpPr txBox="1">
          <a:spLocks noChangeArrowheads="1"/>
        </xdr:cNvSpPr>
      </xdr:nvSpPr>
      <xdr:spPr bwMode="auto">
        <a:xfrm>
          <a:off x="9552641" y="12694024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98</xdr:row>
      <xdr:rowOff>0</xdr:rowOff>
    </xdr:from>
    <xdr:ext cx="117326" cy="218324"/>
    <xdr:sp macro="" textlink="">
      <xdr:nvSpPr>
        <xdr:cNvPr id="929" name="Text Box 249">
          <a:extLst>
            <a:ext uri="{FF2B5EF4-FFF2-40B4-BE49-F238E27FC236}">
              <a16:creationId xmlns:a16="http://schemas.microsoft.com/office/drawing/2014/main" id="{0CE37664-2BDC-42F0-B15F-428F07A249C2}"/>
            </a:ext>
          </a:extLst>
        </xdr:cNvPr>
        <xdr:cNvSpPr txBox="1">
          <a:spLocks noChangeArrowheads="1"/>
        </xdr:cNvSpPr>
      </xdr:nvSpPr>
      <xdr:spPr bwMode="auto">
        <a:xfrm>
          <a:off x="9552641" y="12694024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30" name="Text Box 249">
          <a:extLst>
            <a:ext uri="{FF2B5EF4-FFF2-40B4-BE49-F238E27FC236}">
              <a16:creationId xmlns:a16="http://schemas.microsoft.com/office/drawing/2014/main" id="{152C2392-F65A-4D5D-B1CD-B67D88C35E39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31" name="Text Box 249">
          <a:extLst>
            <a:ext uri="{FF2B5EF4-FFF2-40B4-BE49-F238E27FC236}">
              <a16:creationId xmlns:a16="http://schemas.microsoft.com/office/drawing/2014/main" id="{1E3BD35E-37E8-4FDA-BDF6-58857AAE1139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32" name="Text Box 249">
          <a:extLst>
            <a:ext uri="{FF2B5EF4-FFF2-40B4-BE49-F238E27FC236}">
              <a16:creationId xmlns:a16="http://schemas.microsoft.com/office/drawing/2014/main" id="{B61EAAA2-CD8A-4621-A961-2500EBF3EB1A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33" name="Text Box 249">
          <a:extLst>
            <a:ext uri="{FF2B5EF4-FFF2-40B4-BE49-F238E27FC236}">
              <a16:creationId xmlns:a16="http://schemas.microsoft.com/office/drawing/2014/main" id="{1F8CC034-9A7A-4F6D-B352-011A286AAA5E}"/>
            </a:ext>
          </a:extLst>
        </xdr:cNvPr>
        <xdr:cNvSpPr txBox="1">
          <a:spLocks noChangeArrowheads="1"/>
        </xdr:cNvSpPr>
      </xdr:nvSpPr>
      <xdr:spPr bwMode="auto">
        <a:xfrm>
          <a:off x="9550101" y="1269402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99</xdr:row>
      <xdr:rowOff>0</xdr:rowOff>
    </xdr:from>
    <xdr:ext cx="117326" cy="218324"/>
    <xdr:sp macro="" textlink="">
      <xdr:nvSpPr>
        <xdr:cNvPr id="937" name="Text Box 249">
          <a:extLst>
            <a:ext uri="{FF2B5EF4-FFF2-40B4-BE49-F238E27FC236}">
              <a16:creationId xmlns:a16="http://schemas.microsoft.com/office/drawing/2014/main" id="{EAA33FF1-9117-4DBD-8BC1-CEA0D4D4DEC1}"/>
            </a:ext>
          </a:extLst>
        </xdr:cNvPr>
        <xdr:cNvSpPr txBox="1">
          <a:spLocks noChangeArrowheads="1"/>
        </xdr:cNvSpPr>
      </xdr:nvSpPr>
      <xdr:spPr bwMode="auto">
        <a:xfrm>
          <a:off x="9552641" y="1780390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38" name="Text Box 249">
          <a:extLst>
            <a:ext uri="{FF2B5EF4-FFF2-40B4-BE49-F238E27FC236}">
              <a16:creationId xmlns:a16="http://schemas.microsoft.com/office/drawing/2014/main" id="{F4AF4F49-36E5-4962-B65A-32AAB15829C3}"/>
            </a:ext>
          </a:extLst>
        </xdr:cNvPr>
        <xdr:cNvSpPr txBox="1">
          <a:spLocks noChangeArrowheads="1"/>
        </xdr:cNvSpPr>
      </xdr:nvSpPr>
      <xdr:spPr bwMode="auto">
        <a:xfrm>
          <a:off x="9550101" y="17803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39" name="Text Box 249">
          <a:extLst>
            <a:ext uri="{FF2B5EF4-FFF2-40B4-BE49-F238E27FC236}">
              <a16:creationId xmlns:a16="http://schemas.microsoft.com/office/drawing/2014/main" id="{8E1132F8-2C7F-484D-AD1A-E126704284B2}"/>
            </a:ext>
          </a:extLst>
        </xdr:cNvPr>
        <xdr:cNvSpPr txBox="1">
          <a:spLocks noChangeArrowheads="1"/>
        </xdr:cNvSpPr>
      </xdr:nvSpPr>
      <xdr:spPr bwMode="auto">
        <a:xfrm>
          <a:off x="9550101" y="17803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0" name="Text Box 249">
          <a:extLst>
            <a:ext uri="{FF2B5EF4-FFF2-40B4-BE49-F238E27FC236}">
              <a16:creationId xmlns:a16="http://schemas.microsoft.com/office/drawing/2014/main" id="{3368A6C5-2181-47B8-94EB-C0CCF17150EA}"/>
            </a:ext>
          </a:extLst>
        </xdr:cNvPr>
        <xdr:cNvSpPr txBox="1">
          <a:spLocks noChangeArrowheads="1"/>
        </xdr:cNvSpPr>
      </xdr:nvSpPr>
      <xdr:spPr bwMode="auto">
        <a:xfrm>
          <a:off x="9550101" y="17803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1" name="Text Box 249">
          <a:extLst>
            <a:ext uri="{FF2B5EF4-FFF2-40B4-BE49-F238E27FC236}">
              <a16:creationId xmlns:a16="http://schemas.microsoft.com/office/drawing/2014/main" id="{6F8C6795-23B0-4D8D-93C6-B743E44A05AF}"/>
            </a:ext>
          </a:extLst>
        </xdr:cNvPr>
        <xdr:cNvSpPr txBox="1">
          <a:spLocks noChangeArrowheads="1"/>
        </xdr:cNvSpPr>
      </xdr:nvSpPr>
      <xdr:spPr bwMode="auto">
        <a:xfrm>
          <a:off x="9550101" y="17803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2" name="Text Box 249">
          <a:extLst>
            <a:ext uri="{FF2B5EF4-FFF2-40B4-BE49-F238E27FC236}">
              <a16:creationId xmlns:a16="http://schemas.microsoft.com/office/drawing/2014/main" id="{EFF1C509-BD36-44E9-9E55-199CDF06BA60}"/>
            </a:ext>
          </a:extLst>
        </xdr:cNvPr>
        <xdr:cNvSpPr txBox="1">
          <a:spLocks noChangeArrowheads="1"/>
        </xdr:cNvSpPr>
      </xdr:nvSpPr>
      <xdr:spPr bwMode="auto">
        <a:xfrm>
          <a:off x="9550101" y="17803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3" name="Text Box 249">
          <a:extLst>
            <a:ext uri="{FF2B5EF4-FFF2-40B4-BE49-F238E27FC236}">
              <a16:creationId xmlns:a16="http://schemas.microsoft.com/office/drawing/2014/main" id="{DDB0DF5F-242F-494A-A943-E2726EAF8F67}"/>
            </a:ext>
          </a:extLst>
        </xdr:cNvPr>
        <xdr:cNvSpPr txBox="1">
          <a:spLocks noChangeArrowheads="1"/>
        </xdr:cNvSpPr>
      </xdr:nvSpPr>
      <xdr:spPr bwMode="auto">
        <a:xfrm>
          <a:off x="9550101" y="17803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99</xdr:row>
      <xdr:rowOff>0</xdr:rowOff>
    </xdr:from>
    <xdr:ext cx="104775" cy="210011"/>
    <xdr:sp macro="" textlink="">
      <xdr:nvSpPr>
        <xdr:cNvPr id="944" name="Text Box 249">
          <a:extLst>
            <a:ext uri="{FF2B5EF4-FFF2-40B4-BE49-F238E27FC236}">
              <a16:creationId xmlns:a16="http://schemas.microsoft.com/office/drawing/2014/main" id="{15AF92A1-AA27-426E-AEF7-481891BF3BAD}"/>
            </a:ext>
          </a:extLst>
        </xdr:cNvPr>
        <xdr:cNvSpPr txBox="1">
          <a:spLocks noChangeArrowheads="1"/>
        </xdr:cNvSpPr>
      </xdr:nvSpPr>
      <xdr:spPr bwMode="auto">
        <a:xfrm>
          <a:off x="9552641" y="1780390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99</xdr:row>
      <xdr:rowOff>0</xdr:rowOff>
    </xdr:from>
    <xdr:ext cx="117326" cy="218324"/>
    <xdr:sp macro="" textlink="">
      <xdr:nvSpPr>
        <xdr:cNvPr id="945" name="Text Box 249">
          <a:extLst>
            <a:ext uri="{FF2B5EF4-FFF2-40B4-BE49-F238E27FC236}">
              <a16:creationId xmlns:a16="http://schemas.microsoft.com/office/drawing/2014/main" id="{0123DEDA-89FC-4152-8988-DE30F578B689}"/>
            </a:ext>
          </a:extLst>
        </xdr:cNvPr>
        <xdr:cNvSpPr txBox="1">
          <a:spLocks noChangeArrowheads="1"/>
        </xdr:cNvSpPr>
      </xdr:nvSpPr>
      <xdr:spPr bwMode="auto">
        <a:xfrm>
          <a:off x="9552641" y="1780390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6" name="Text Box 249">
          <a:extLst>
            <a:ext uri="{FF2B5EF4-FFF2-40B4-BE49-F238E27FC236}">
              <a16:creationId xmlns:a16="http://schemas.microsoft.com/office/drawing/2014/main" id="{F80159D0-CD3E-4445-B986-AF44A60B787D}"/>
            </a:ext>
          </a:extLst>
        </xdr:cNvPr>
        <xdr:cNvSpPr txBox="1">
          <a:spLocks noChangeArrowheads="1"/>
        </xdr:cNvSpPr>
      </xdr:nvSpPr>
      <xdr:spPr bwMode="auto">
        <a:xfrm>
          <a:off x="9550101" y="17803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7" name="Text Box 249">
          <a:extLst>
            <a:ext uri="{FF2B5EF4-FFF2-40B4-BE49-F238E27FC236}">
              <a16:creationId xmlns:a16="http://schemas.microsoft.com/office/drawing/2014/main" id="{60C09756-21ED-43E8-9DBF-8EBAA03A8821}"/>
            </a:ext>
          </a:extLst>
        </xdr:cNvPr>
        <xdr:cNvSpPr txBox="1">
          <a:spLocks noChangeArrowheads="1"/>
        </xdr:cNvSpPr>
      </xdr:nvSpPr>
      <xdr:spPr bwMode="auto">
        <a:xfrm>
          <a:off x="9550101" y="17803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8" name="Text Box 249">
          <a:extLst>
            <a:ext uri="{FF2B5EF4-FFF2-40B4-BE49-F238E27FC236}">
              <a16:creationId xmlns:a16="http://schemas.microsoft.com/office/drawing/2014/main" id="{FBF1726A-1F37-4C83-A217-BAF843E4E264}"/>
            </a:ext>
          </a:extLst>
        </xdr:cNvPr>
        <xdr:cNvSpPr txBox="1">
          <a:spLocks noChangeArrowheads="1"/>
        </xdr:cNvSpPr>
      </xdr:nvSpPr>
      <xdr:spPr bwMode="auto">
        <a:xfrm>
          <a:off x="9550101" y="17803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9" name="Text Box 249">
          <a:extLst>
            <a:ext uri="{FF2B5EF4-FFF2-40B4-BE49-F238E27FC236}">
              <a16:creationId xmlns:a16="http://schemas.microsoft.com/office/drawing/2014/main" id="{03E87DA6-751A-4BCA-9945-C867BFFE6872}"/>
            </a:ext>
          </a:extLst>
        </xdr:cNvPr>
        <xdr:cNvSpPr txBox="1">
          <a:spLocks noChangeArrowheads="1"/>
        </xdr:cNvSpPr>
      </xdr:nvSpPr>
      <xdr:spPr bwMode="auto">
        <a:xfrm>
          <a:off x="9550101" y="17803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87</xdr:row>
      <xdr:rowOff>0</xdr:rowOff>
    </xdr:from>
    <xdr:ext cx="117326" cy="218324"/>
    <xdr:sp macro="" textlink="">
      <xdr:nvSpPr>
        <xdr:cNvPr id="950" name="Text Box 249">
          <a:extLst>
            <a:ext uri="{FF2B5EF4-FFF2-40B4-BE49-F238E27FC236}">
              <a16:creationId xmlns:a16="http://schemas.microsoft.com/office/drawing/2014/main" id="{4413583B-7DB3-4BE9-83DE-DFE9160500A2}"/>
            </a:ext>
          </a:extLst>
        </xdr:cNvPr>
        <xdr:cNvSpPr txBox="1">
          <a:spLocks noChangeArrowheads="1"/>
        </xdr:cNvSpPr>
      </xdr:nvSpPr>
      <xdr:spPr bwMode="auto">
        <a:xfrm>
          <a:off x="9552641" y="1814456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1" name="Text Box 249">
          <a:extLst>
            <a:ext uri="{FF2B5EF4-FFF2-40B4-BE49-F238E27FC236}">
              <a16:creationId xmlns:a16="http://schemas.microsoft.com/office/drawing/2014/main" id="{0E44364C-6749-47BF-8F53-E8CB918CEB31}"/>
            </a:ext>
          </a:extLst>
        </xdr:cNvPr>
        <xdr:cNvSpPr txBox="1">
          <a:spLocks noChangeArrowheads="1"/>
        </xdr:cNvSpPr>
      </xdr:nvSpPr>
      <xdr:spPr bwMode="auto">
        <a:xfrm>
          <a:off x="9550101" y="18144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2" name="Text Box 249">
          <a:extLst>
            <a:ext uri="{FF2B5EF4-FFF2-40B4-BE49-F238E27FC236}">
              <a16:creationId xmlns:a16="http://schemas.microsoft.com/office/drawing/2014/main" id="{30040EAA-85CE-4C3D-AA36-D4EC8412A5F5}"/>
            </a:ext>
          </a:extLst>
        </xdr:cNvPr>
        <xdr:cNvSpPr txBox="1">
          <a:spLocks noChangeArrowheads="1"/>
        </xdr:cNvSpPr>
      </xdr:nvSpPr>
      <xdr:spPr bwMode="auto">
        <a:xfrm>
          <a:off x="9550101" y="18144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3" name="Text Box 249">
          <a:extLst>
            <a:ext uri="{FF2B5EF4-FFF2-40B4-BE49-F238E27FC236}">
              <a16:creationId xmlns:a16="http://schemas.microsoft.com/office/drawing/2014/main" id="{621D9341-F49E-4EBC-BFA4-09568BE323DE}"/>
            </a:ext>
          </a:extLst>
        </xdr:cNvPr>
        <xdr:cNvSpPr txBox="1">
          <a:spLocks noChangeArrowheads="1"/>
        </xdr:cNvSpPr>
      </xdr:nvSpPr>
      <xdr:spPr bwMode="auto">
        <a:xfrm>
          <a:off x="9550101" y="18144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4" name="Text Box 249">
          <a:extLst>
            <a:ext uri="{FF2B5EF4-FFF2-40B4-BE49-F238E27FC236}">
              <a16:creationId xmlns:a16="http://schemas.microsoft.com/office/drawing/2014/main" id="{4752AEE4-2D05-47D2-8E8C-0110D52225AB}"/>
            </a:ext>
          </a:extLst>
        </xdr:cNvPr>
        <xdr:cNvSpPr txBox="1">
          <a:spLocks noChangeArrowheads="1"/>
        </xdr:cNvSpPr>
      </xdr:nvSpPr>
      <xdr:spPr bwMode="auto">
        <a:xfrm>
          <a:off x="9550101" y="18144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5" name="Text Box 249">
          <a:extLst>
            <a:ext uri="{FF2B5EF4-FFF2-40B4-BE49-F238E27FC236}">
              <a16:creationId xmlns:a16="http://schemas.microsoft.com/office/drawing/2014/main" id="{A02C2FB1-4CAC-4866-B781-8955E9D89A4E}"/>
            </a:ext>
          </a:extLst>
        </xdr:cNvPr>
        <xdr:cNvSpPr txBox="1">
          <a:spLocks noChangeArrowheads="1"/>
        </xdr:cNvSpPr>
      </xdr:nvSpPr>
      <xdr:spPr bwMode="auto">
        <a:xfrm>
          <a:off x="9550101" y="18144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6" name="Text Box 249">
          <a:extLst>
            <a:ext uri="{FF2B5EF4-FFF2-40B4-BE49-F238E27FC236}">
              <a16:creationId xmlns:a16="http://schemas.microsoft.com/office/drawing/2014/main" id="{41FFC84F-7B4C-466C-BC65-81F5DEF41E1C}"/>
            </a:ext>
          </a:extLst>
        </xdr:cNvPr>
        <xdr:cNvSpPr txBox="1">
          <a:spLocks noChangeArrowheads="1"/>
        </xdr:cNvSpPr>
      </xdr:nvSpPr>
      <xdr:spPr bwMode="auto">
        <a:xfrm>
          <a:off x="9550101" y="18144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87</xdr:row>
      <xdr:rowOff>0</xdr:rowOff>
    </xdr:from>
    <xdr:ext cx="104775" cy="210011"/>
    <xdr:sp macro="" textlink="">
      <xdr:nvSpPr>
        <xdr:cNvPr id="957" name="Text Box 249">
          <a:extLst>
            <a:ext uri="{FF2B5EF4-FFF2-40B4-BE49-F238E27FC236}">
              <a16:creationId xmlns:a16="http://schemas.microsoft.com/office/drawing/2014/main" id="{9FE5CD7A-8BB7-471D-B242-8EECAC57D56E}"/>
            </a:ext>
          </a:extLst>
        </xdr:cNvPr>
        <xdr:cNvSpPr txBox="1">
          <a:spLocks noChangeArrowheads="1"/>
        </xdr:cNvSpPr>
      </xdr:nvSpPr>
      <xdr:spPr bwMode="auto">
        <a:xfrm>
          <a:off x="9552641" y="18144565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87</xdr:row>
      <xdr:rowOff>0</xdr:rowOff>
    </xdr:from>
    <xdr:ext cx="117326" cy="218324"/>
    <xdr:sp macro="" textlink="">
      <xdr:nvSpPr>
        <xdr:cNvPr id="958" name="Text Box 249">
          <a:extLst>
            <a:ext uri="{FF2B5EF4-FFF2-40B4-BE49-F238E27FC236}">
              <a16:creationId xmlns:a16="http://schemas.microsoft.com/office/drawing/2014/main" id="{A263DC5B-A698-467D-95FC-CA83F4263E5E}"/>
            </a:ext>
          </a:extLst>
        </xdr:cNvPr>
        <xdr:cNvSpPr txBox="1">
          <a:spLocks noChangeArrowheads="1"/>
        </xdr:cNvSpPr>
      </xdr:nvSpPr>
      <xdr:spPr bwMode="auto">
        <a:xfrm>
          <a:off x="9552641" y="18144565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9" name="Text Box 249">
          <a:extLst>
            <a:ext uri="{FF2B5EF4-FFF2-40B4-BE49-F238E27FC236}">
              <a16:creationId xmlns:a16="http://schemas.microsoft.com/office/drawing/2014/main" id="{E7939F6F-EB23-4DFE-8C24-7BA8F4AE5864}"/>
            </a:ext>
          </a:extLst>
        </xdr:cNvPr>
        <xdr:cNvSpPr txBox="1">
          <a:spLocks noChangeArrowheads="1"/>
        </xdr:cNvSpPr>
      </xdr:nvSpPr>
      <xdr:spPr bwMode="auto">
        <a:xfrm>
          <a:off x="9550101" y="18144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60" name="Text Box 249">
          <a:extLst>
            <a:ext uri="{FF2B5EF4-FFF2-40B4-BE49-F238E27FC236}">
              <a16:creationId xmlns:a16="http://schemas.microsoft.com/office/drawing/2014/main" id="{EA872566-186A-4362-B500-9A263D4505BE}"/>
            </a:ext>
          </a:extLst>
        </xdr:cNvPr>
        <xdr:cNvSpPr txBox="1">
          <a:spLocks noChangeArrowheads="1"/>
        </xdr:cNvSpPr>
      </xdr:nvSpPr>
      <xdr:spPr bwMode="auto">
        <a:xfrm>
          <a:off x="9550101" y="18144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61" name="Text Box 249">
          <a:extLst>
            <a:ext uri="{FF2B5EF4-FFF2-40B4-BE49-F238E27FC236}">
              <a16:creationId xmlns:a16="http://schemas.microsoft.com/office/drawing/2014/main" id="{6943A959-49A8-47FB-8F55-DC7A4AC7D0D0}"/>
            </a:ext>
          </a:extLst>
        </xdr:cNvPr>
        <xdr:cNvSpPr txBox="1">
          <a:spLocks noChangeArrowheads="1"/>
        </xdr:cNvSpPr>
      </xdr:nvSpPr>
      <xdr:spPr bwMode="auto">
        <a:xfrm>
          <a:off x="9550101" y="18144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62" name="Text Box 249">
          <a:extLst>
            <a:ext uri="{FF2B5EF4-FFF2-40B4-BE49-F238E27FC236}">
              <a16:creationId xmlns:a16="http://schemas.microsoft.com/office/drawing/2014/main" id="{E6F6175F-F555-4493-807D-0F1EC4B6C819}"/>
            </a:ext>
          </a:extLst>
        </xdr:cNvPr>
        <xdr:cNvSpPr txBox="1">
          <a:spLocks noChangeArrowheads="1"/>
        </xdr:cNvSpPr>
      </xdr:nvSpPr>
      <xdr:spPr bwMode="auto">
        <a:xfrm>
          <a:off x="9550101" y="18144565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88</xdr:row>
      <xdr:rowOff>0</xdr:rowOff>
    </xdr:from>
    <xdr:ext cx="117326" cy="218324"/>
    <xdr:sp macro="" textlink="">
      <xdr:nvSpPr>
        <xdr:cNvPr id="963" name="Text Box 249">
          <a:extLst>
            <a:ext uri="{FF2B5EF4-FFF2-40B4-BE49-F238E27FC236}">
              <a16:creationId xmlns:a16="http://schemas.microsoft.com/office/drawing/2014/main" id="{64C3CEF7-7C3F-44DF-A4B0-6C1A3E74E4E1}"/>
            </a:ext>
          </a:extLst>
        </xdr:cNvPr>
        <xdr:cNvSpPr txBox="1">
          <a:spLocks noChangeArrowheads="1"/>
        </xdr:cNvSpPr>
      </xdr:nvSpPr>
      <xdr:spPr bwMode="auto">
        <a:xfrm>
          <a:off x="9552641" y="18314894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4" name="Text Box 249">
          <a:extLst>
            <a:ext uri="{FF2B5EF4-FFF2-40B4-BE49-F238E27FC236}">
              <a16:creationId xmlns:a16="http://schemas.microsoft.com/office/drawing/2014/main" id="{66CF4B33-F647-4BE8-BAC2-0FB782F2D22B}"/>
            </a:ext>
          </a:extLst>
        </xdr:cNvPr>
        <xdr:cNvSpPr txBox="1">
          <a:spLocks noChangeArrowheads="1"/>
        </xdr:cNvSpPr>
      </xdr:nvSpPr>
      <xdr:spPr bwMode="auto">
        <a:xfrm>
          <a:off x="9550101" y="1831489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5" name="Text Box 249">
          <a:extLst>
            <a:ext uri="{FF2B5EF4-FFF2-40B4-BE49-F238E27FC236}">
              <a16:creationId xmlns:a16="http://schemas.microsoft.com/office/drawing/2014/main" id="{6178AEA9-EAE1-468A-81D9-97E9D5285075}"/>
            </a:ext>
          </a:extLst>
        </xdr:cNvPr>
        <xdr:cNvSpPr txBox="1">
          <a:spLocks noChangeArrowheads="1"/>
        </xdr:cNvSpPr>
      </xdr:nvSpPr>
      <xdr:spPr bwMode="auto">
        <a:xfrm>
          <a:off x="9550101" y="1831489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6" name="Text Box 249">
          <a:extLst>
            <a:ext uri="{FF2B5EF4-FFF2-40B4-BE49-F238E27FC236}">
              <a16:creationId xmlns:a16="http://schemas.microsoft.com/office/drawing/2014/main" id="{C7C43855-65FF-4C8A-949C-5654725D6632}"/>
            </a:ext>
          </a:extLst>
        </xdr:cNvPr>
        <xdr:cNvSpPr txBox="1">
          <a:spLocks noChangeArrowheads="1"/>
        </xdr:cNvSpPr>
      </xdr:nvSpPr>
      <xdr:spPr bwMode="auto">
        <a:xfrm>
          <a:off x="9550101" y="1831489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7" name="Text Box 249">
          <a:extLst>
            <a:ext uri="{FF2B5EF4-FFF2-40B4-BE49-F238E27FC236}">
              <a16:creationId xmlns:a16="http://schemas.microsoft.com/office/drawing/2014/main" id="{8A5EC259-2598-415B-9FD4-A5A014E44FE1}"/>
            </a:ext>
          </a:extLst>
        </xdr:cNvPr>
        <xdr:cNvSpPr txBox="1">
          <a:spLocks noChangeArrowheads="1"/>
        </xdr:cNvSpPr>
      </xdr:nvSpPr>
      <xdr:spPr bwMode="auto">
        <a:xfrm>
          <a:off x="9550101" y="1831489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8" name="Text Box 249">
          <a:extLst>
            <a:ext uri="{FF2B5EF4-FFF2-40B4-BE49-F238E27FC236}">
              <a16:creationId xmlns:a16="http://schemas.microsoft.com/office/drawing/2014/main" id="{851D9089-0D28-4B2A-A949-2F1C647D2228}"/>
            </a:ext>
          </a:extLst>
        </xdr:cNvPr>
        <xdr:cNvSpPr txBox="1">
          <a:spLocks noChangeArrowheads="1"/>
        </xdr:cNvSpPr>
      </xdr:nvSpPr>
      <xdr:spPr bwMode="auto">
        <a:xfrm>
          <a:off x="9550101" y="1831489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9" name="Text Box 249">
          <a:extLst>
            <a:ext uri="{FF2B5EF4-FFF2-40B4-BE49-F238E27FC236}">
              <a16:creationId xmlns:a16="http://schemas.microsoft.com/office/drawing/2014/main" id="{CD168B13-A0E0-4985-82DD-616002FE0B9B}"/>
            </a:ext>
          </a:extLst>
        </xdr:cNvPr>
        <xdr:cNvSpPr txBox="1">
          <a:spLocks noChangeArrowheads="1"/>
        </xdr:cNvSpPr>
      </xdr:nvSpPr>
      <xdr:spPr bwMode="auto">
        <a:xfrm>
          <a:off x="9550101" y="1831489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88</xdr:row>
      <xdr:rowOff>0</xdr:rowOff>
    </xdr:from>
    <xdr:ext cx="104775" cy="210011"/>
    <xdr:sp macro="" textlink="">
      <xdr:nvSpPr>
        <xdr:cNvPr id="970" name="Text Box 249">
          <a:extLst>
            <a:ext uri="{FF2B5EF4-FFF2-40B4-BE49-F238E27FC236}">
              <a16:creationId xmlns:a16="http://schemas.microsoft.com/office/drawing/2014/main" id="{ECEB794C-9279-4E56-AD32-14EE00B61C3E}"/>
            </a:ext>
          </a:extLst>
        </xdr:cNvPr>
        <xdr:cNvSpPr txBox="1">
          <a:spLocks noChangeArrowheads="1"/>
        </xdr:cNvSpPr>
      </xdr:nvSpPr>
      <xdr:spPr bwMode="auto">
        <a:xfrm>
          <a:off x="9552641" y="18314894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88</xdr:row>
      <xdr:rowOff>0</xdr:rowOff>
    </xdr:from>
    <xdr:ext cx="117326" cy="218324"/>
    <xdr:sp macro="" textlink="">
      <xdr:nvSpPr>
        <xdr:cNvPr id="971" name="Text Box 249">
          <a:extLst>
            <a:ext uri="{FF2B5EF4-FFF2-40B4-BE49-F238E27FC236}">
              <a16:creationId xmlns:a16="http://schemas.microsoft.com/office/drawing/2014/main" id="{7F689A48-DAB1-4A8C-9F69-5AC13A3A5193}"/>
            </a:ext>
          </a:extLst>
        </xdr:cNvPr>
        <xdr:cNvSpPr txBox="1">
          <a:spLocks noChangeArrowheads="1"/>
        </xdr:cNvSpPr>
      </xdr:nvSpPr>
      <xdr:spPr bwMode="auto">
        <a:xfrm>
          <a:off x="9552641" y="18314894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72" name="Text Box 249">
          <a:extLst>
            <a:ext uri="{FF2B5EF4-FFF2-40B4-BE49-F238E27FC236}">
              <a16:creationId xmlns:a16="http://schemas.microsoft.com/office/drawing/2014/main" id="{400647F5-BD89-4A3F-A21D-5300561C4CA2}"/>
            </a:ext>
          </a:extLst>
        </xdr:cNvPr>
        <xdr:cNvSpPr txBox="1">
          <a:spLocks noChangeArrowheads="1"/>
        </xdr:cNvSpPr>
      </xdr:nvSpPr>
      <xdr:spPr bwMode="auto">
        <a:xfrm>
          <a:off x="9550101" y="1831489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73" name="Text Box 249">
          <a:extLst>
            <a:ext uri="{FF2B5EF4-FFF2-40B4-BE49-F238E27FC236}">
              <a16:creationId xmlns:a16="http://schemas.microsoft.com/office/drawing/2014/main" id="{A07C64D5-6DCE-47F2-AA43-F925D09085FC}"/>
            </a:ext>
          </a:extLst>
        </xdr:cNvPr>
        <xdr:cNvSpPr txBox="1">
          <a:spLocks noChangeArrowheads="1"/>
        </xdr:cNvSpPr>
      </xdr:nvSpPr>
      <xdr:spPr bwMode="auto">
        <a:xfrm>
          <a:off x="9550101" y="1831489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74" name="Text Box 249">
          <a:extLst>
            <a:ext uri="{FF2B5EF4-FFF2-40B4-BE49-F238E27FC236}">
              <a16:creationId xmlns:a16="http://schemas.microsoft.com/office/drawing/2014/main" id="{246B1CA3-63F4-4A26-AE34-7259CF5C7E8D}"/>
            </a:ext>
          </a:extLst>
        </xdr:cNvPr>
        <xdr:cNvSpPr txBox="1">
          <a:spLocks noChangeArrowheads="1"/>
        </xdr:cNvSpPr>
      </xdr:nvSpPr>
      <xdr:spPr bwMode="auto">
        <a:xfrm>
          <a:off x="9550101" y="1831489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75" name="Text Box 249">
          <a:extLst>
            <a:ext uri="{FF2B5EF4-FFF2-40B4-BE49-F238E27FC236}">
              <a16:creationId xmlns:a16="http://schemas.microsoft.com/office/drawing/2014/main" id="{205B2F5B-5DF3-4CF8-888B-EF8BEA77170F}"/>
            </a:ext>
          </a:extLst>
        </xdr:cNvPr>
        <xdr:cNvSpPr txBox="1">
          <a:spLocks noChangeArrowheads="1"/>
        </xdr:cNvSpPr>
      </xdr:nvSpPr>
      <xdr:spPr bwMode="auto">
        <a:xfrm>
          <a:off x="9550101" y="18314894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109</xdr:row>
      <xdr:rowOff>0</xdr:rowOff>
    </xdr:from>
    <xdr:ext cx="117326" cy="218324"/>
    <xdr:sp macro="" textlink="">
      <xdr:nvSpPr>
        <xdr:cNvPr id="1025" name="Text Box 249">
          <a:extLst>
            <a:ext uri="{FF2B5EF4-FFF2-40B4-BE49-F238E27FC236}">
              <a16:creationId xmlns:a16="http://schemas.microsoft.com/office/drawing/2014/main" id="{0E54CDB9-28A6-467D-B637-BD797BC01F85}"/>
            </a:ext>
          </a:extLst>
        </xdr:cNvPr>
        <xdr:cNvSpPr txBox="1">
          <a:spLocks noChangeArrowheads="1"/>
        </xdr:cNvSpPr>
      </xdr:nvSpPr>
      <xdr:spPr bwMode="auto">
        <a:xfrm>
          <a:off x="9552641" y="1746324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1026" name="Text Box 249">
          <a:extLst>
            <a:ext uri="{FF2B5EF4-FFF2-40B4-BE49-F238E27FC236}">
              <a16:creationId xmlns:a16="http://schemas.microsoft.com/office/drawing/2014/main" id="{ABC7D05B-AA53-45C1-A61D-D3D336FBB4D1}"/>
            </a:ext>
          </a:extLst>
        </xdr:cNvPr>
        <xdr:cNvSpPr txBox="1">
          <a:spLocks noChangeArrowheads="1"/>
        </xdr:cNvSpPr>
      </xdr:nvSpPr>
      <xdr:spPr bwMode="auto">
        <a:xfrm>
          <a:off x="9550101" y="1746324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1027" name="Text Box 249">
          <a:extLst>
            <a:ext uri="{FF2B5EF4-FFF2-40B4-BE49-F238E27FC236}">
              <a16:creationId xmlns:a16="http://schemas.microsoft.com/office/drawing/2014/main" id="{6CBE4374-7E6E-4272-A84C-4C68DD31D825}"/>
            </a:ext>
          </a:extLst>
        </xdr:cNvPr>
        <xdr:cNvSpPr txBox="1">
          <a:spLocks noChangeArrowheads="1"/>
        </xdr:cNvSpPr>
      </xdr:nvSpPr>
      <xdr:spPr bwMode="auto">
        <a:xfrm>
          <a:off x="9550101" y="1746324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1028" name="Text Box 249">
          <a:extLst>
            <a:ext uri="{FF2B5EF4-FFF2-40B4-BE49-F238E27FC236}">
              <a16:creationId xmlns:a16="http://schemas.microsoft.com/office/drawing/2014/main" id="{7C3360E7-CFDC-4B1B-95A0-755A4F548D74}"/>
            </a:ext>
          </a:extLst>
        </xdr:cNvPr>
        <xdr:cNvSpPr txBox="1">
          <a:spLocks noChangeArrowheads="1"/>
        </xdr:cNvSpPr>
      </xdr:nvSpPr>
      <xdr:spPr bwMode="auto">
        <a:xfrm>
          <a:off x="9550101" y="1746324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1029" name="Text Box 249">
          <a:extLst>
            <a:ext uri="{FF2B5EF4-FFF2-40B4-BE49-F238E27FC236}">
              <a16:creationId xmlns:a16="http://schemas.microsoft.com/office/drawing/2014/main" id="{A7CD03E7-B3D2-49B1-AE2A-3C62F370733E}"/>
            </a:ext>
          </a:extLst>
        </xdr:cNvPr>
        <xdr:cNvSpPr txBox="1">
          <a:spLocks noChangeArrowheads="1"/>
        </xdr:cNvSpPr>
      </xdr:nvSpPr>
      <xdr:spPr bwMode="auto">
        <a:xfrm>
          <a:off x="9550101" y="1746324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1030" name="Text Box 249">
          <a:extLst>
            <a:ext uri="{FF2B5EF4-FFF2-40B4-BE49-F238E27FC236}">
              <a16:creationId xmlns:a16="http://schemas.microsoft.com/office/drawing/2014/main" id="{782C6AF4-5991-4727-9EAC-C58EAFE46E6A}"/>
            </a:ext>
          </a:extLst>
        </xdr:cNvPr>
        <xdr:cNvSpPr txBox="1">
          <a:spLocks noChangeArrowheads="1"/>
        </xdr:cNvSpPr>
      </xdr:nvSpPr>
      <xdr:spPr bwMode="auto">
        <a:xfrm>
          <a:off x="9550101" y="1746324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1031" name="Text Box 249">
          <a:extLst>
            <a:ext uri="{FF2B5EF4-FFF2-40B4-BE49-F238E27FC236}">
              <a16:creationId xmlns:a16="http://schemas.microsoft.com/office/drawing/2014/main" id="{9021D364-0F75-40BD-91B8-D011D49CEF82}"/>
            </a:ext>
          </a:extLst>
        </xdr:cNvPr>
        <xdr:cNvSpPr txBox="1">
          <a:spLocks noChangeArrowheads="1"/>
        </xdr:cNvSpPr>
      </xdr:nvSpPr>
      <xdr:spPr bwMode="auto">
        <a:xfrm>
          <a:off x="9550101" y="1746324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109</xdr:row>
      <xdr:rowOff>0</xdr:rowOff>
    </xdr:from>
    <xdr:ext cx="104775" cy="210011"/>
    <xdr:sp macro="" textlink="">
      <xdr:nvSpPr>
        <xdr:cNvPr id="1032" name="Text Box 249">
          <a:extLst>
            <a:ext uri="{FF2B5EF4-FFF2-40B4-BE49-F238E27FC236}">
              <a16:creationId xmlns:a16="http://schemas.microsoft.com/office/drawing/2014/main" id="{5C0356DE-AC2C-430B-86F8-716CD79CCA24}"/>
            </a:ext>
          </a:extLst>
        </xdr:cNvPr>
        <xdr:cNvSpPr txBox="1">
          <a:spLocks noChangeArrowheads="1"/>
        </xdr:cNvSpPr>
      </xdr:nvSpPr>
      <xdr:spPr bwMode="auto">
        <a:xfrm>
          <a:off x="9552641" y="17463247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109</xdr:row>
      <xdr:rowOff>0</xdr:rowOff>
    </xdr:from>
    <xdr:ext cx="117326" cy="218324"/>
    <xdr:sp macro="" textlink="">
      <xdr:nvSpPr>
        <xdr:cNvPr id="1033" name="Text Box 249">
          <a:extLst>
            <a:ext uri="{FF2B5EF4-FFF2-40B4-BE49-F238E27FC236}">
              <a16:creationId xmlns:a16="http://schemas.microsoft.com/office/drawing/2014/main" id="{E785139F-AAD8-4BC3-BE38-C48B05E0516B}"/>
            </a:ext>
          </a:extLst>
        </xdr:cNvPr>
        <xdr:cNvSpPr txBox="1">
          <a:spLocks noChangeArrowheads="1"/>
        </xdr:cNvSpPr>
      </xdr:nvSpPr>
      <xdr:spPr bwMode="auto">
        <a:xfrm>
          <a:off x="9552641" y="17463247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1034" name="Text Box 249">
          <a:extLst>
            <a:ext uri="{FF2B5EF4-FFF2-40B4-BE49-F238E27FC236}">
              <a16:creationId xmlns:a16="http://schemas.microsoft.com/office/drawing/2014/main" id="{6C193EE7-D502-40A8-BB48-4CD5471C50B9}"/>
            </a:ext>
          </a:extLst>
        </xdr:cNvPr>
        <xdr:cNvSpPr txBox="1">
          <a:spLocks noChangeArrowheads="1"/>
        </xdr:cNvSpPr>
      </xdr:nvSpPr>
      <xdr:spPr bwMode="auto">
        <a:xfrm>
          <a:off x="9550101" y="1746324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1035" name="Text Box 249">
          <a:extLst>
            <a:ext uri="{FF2B5EF4-FFF2-40B4-BE49-F238E27FC236}">
              <a16:creationId xmlns:a16="http://schemas.microsoft.com/office/drawing/2014/main" id="{4A5C7CDE-B9DF-4314-A0BD-2C0A498A4C3F}"/>
            </a:ext>
          </a:extLst>
        </xdr:cNvPr>
        <xdr:cNvSpPr txBox="1">
          <a:spLocks noChangeArrowheads="1"/>
        </xdr:cNvSpPr>
      </xdr:nvSpPr>
      <xdr:spPr bwMode="auto">
        <a:xfrm>
          <a:off x="9550101" y="1746324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1036" name="Text Box 249">
          <a:extLst>
            <a:ext uri="{FF2B5EF4-FFF2-40B4-BE49-F238E27FC236}">
              <a16:creationId xmlns:a16="http://schemas.microsoft.com/office/drawing/2014/main" id="{22BBF9FC-42F4-4DD0-8D90-9842EB78501B}"/>
            </a:ext>
          </a:extLst>
        </xdr:cNvPr>
        <xdr:cNvSpPr txBox="1">
          <a:spLocks noChangeArrowheads="1"/>
        </xdr:cNvSpPr>
      </xdr:nvSpPr>
      <xdr:spPr bwMode="auto">
        <a:xfrm>
          <a:off x="9550101" y="1746324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1037" name="Text Box 249">
          <a:extLst>
            <a:ext uri="{FF2B5EF4-FFF2-40B4-BE49-F238E27FC236}">
              <a16:creationId xmlns:a16="http://schemas.microsoft.com/office/drawing/2014/main" id="{55C73B27-ACFD-4576-BDC8-21B4625CBD03}"/>
            </a:ext>
          </a:extLst>
        </xdr:cNvPr>
        <xdr:cNvSpPr txBox="1">
          <a:spLocks noChangeArrowheads="1"/>
        </xdr:cNvSpPr>
      </xdr:nvSpPr>
      <xdr:spPr bwMode="auto">
        <a:xfrm>
          <a:off x="9550101" y="17463247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110</xdr:row>
      <xdr:rowOff>0</xdr:rowOff>
    </xdr:from>
    <xdr:ext cx="117326" cy="218324"/>
    <xdr:sp macro="" textlink="">
      <xdr:nvSpPr>
        <xdr:cNvPr id="1038" name="Text Box 249">
          <a:extLst>
            <a:ext uri="{FF2B5EF4-FFF2-40B4-BE49-F238E27FC236}">
              <a16:creationId xmlns:a16="http://schemas.microsoft.com/office/drawing/2014/main" id="{EAB90DC3-D016-43BA-84E0-B96F7A4AAF5A}"/>
            </a:ext>
          </a:extLst>
        </xdr:cNvPr>
        <xdr:cNvSpPr txBox="1">
          <a:spLocks noChangeArrowheads="1"/>
        </xdr:cNvSpPr>
      </xdr:nvSpPr>
      <xdr:spPr bwMode="auto">
        <a:xfrm>
          <a:off x="9552641" y="1763357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1039" name="Text Box 249">
          <a:extLst>
            <a:ext uri="{FF2B5EF4-FFF2-40B4-BE49-F238E27FC236}">
              <a16:creationId xmlns:a16="http://schemas.microsoft.com/office/drawing/2014/main" id="{7BA49DAB-A1C2-49A6-A3E9-A0AF2B2A920B}"/>
            </a:ext>
          </a:extLst>
        </xdr:cNvPr>
        <xdr:cNvSpPr txBox="1">
          <a:spLocks noChangeArrowheads="1"/>
        </xdr:cNvSpPr>
      </xdr:nvSpPr>
      <xdr:spPr bwMode="auto">
        <a:xfrm>
          <a:off x="9550101" y="17633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1040" name="Text Box 249">
          <a:extLst>
            <a:ext uri="{FF2B5EF4-FFF2-40B4-BE49-F238E27FC236}">
              <a16:creationId xmlns:a16="http://schemas.microsoft.com/office/drawing/2014/main" id="{73D9FD90-9EEE-4C40-A4FA-891C448B45D3}"/>
            </a:ext>
          </a:extLst>
        </xdr:cNvPr>
        <xdr:cNvSpPr txBox="1">
          <a:spLocks noChangeArrowheads="1"/>
        </xdr:cNvSpPr>
      </xdr:nvSpPr>
      <xdr:spPr bwMode="auto">
        <a:xfrm>
          <a:off x="9550101" y="17633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1041" name="Text Box 249">
          <a:extLst>
            <a:ext uri="{FF2B5EF4-FFF2-40B4-BE49-F238E27FC236}">
              <a16:creationId xmlns:a16="http://schemas.microsoft.com/office/drawing/2014/main" id="{2324D511-689B-4F3C-8A27-A057EC67696A}"/>
            </a:ext>
          </a:extLst>
        </xdr:cNvPr>
        <xdr:cNvSpPr txBox="1">
          <a:spLocks noChangeArrowheads="1"/>
        </xdr:cNvSpPr>
      </xdr:nvSpPr>
      <xdr:spPr bwMode="auto">
        <a:xfrm>
          <a:off x="9550101" y="17633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1042" name="Text Box 249">
          <a:extLst>
            <a:ext uri="{FF2B5EF4-FFF2-40B4-BE49-F238E27FC236}">
              <a16:creationId xmlns:a16="http://schemas.microsoft.com/office/drawing/2014/main" id="{2B5E35F5-83B7-4FC6-A2AF-885059DA4E50}"/>
            </a:ext>
          </a:extLst>
        </xdr:cNvPr>
        <xdr:cNvSpPr txBox="1">
          <a:spLocks noChangeArrowheads="1"/>
        </xdr:cNvSpPr>
      </xdr:nvSpPr>
      <xdr:spPr bwMode="auto">
        <a:xfrm>
          <a:off x="9550101" y="17633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1043" name="Text Box 249">
          <a:extLst>
            <a:ext uri="{FF2B5EF4-FFF2-40B4-BE49-F238E27FC236}">
              <a16:creationId xmlns:a16="http://schemas.microsoft.com/office/drawing/2014/main" id="{9D8E6771-7A84-4E46-9E9B-47C9C92F3DB1}"/>
            </a:ext>
          </a:extLst>
        </xdr:cNvPr>
        <xdr:cNvSpPr txBox="1">
          <a:spLocks noChangeArrowheads="1"/>
        </xdr:cNvSpPr>
      </xdr:nvSpPr>
      <xdr:spPr bwMode="auto">
        <a:xfrm>
          <a:off x="9550101" y="17633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1044" name="Text Box 249">
          <a:extLst>
            <a:ext uri="{FF2B5EF4-FFF2-40B4-BE49-F238E27FC236}">
              <a16:creationId xmlns:a16="http://schemas.microsoft.com/office/drawing/2014/main" id="{42137F9A-A0F4-4B87-B98B-3FCDC525E9C9}"/>
            </a:ext>
          </a:extLst>
        </xdr:cNvPr>
        <xdr:cNvSpPr txBox="1">
          <a:spLocks noChangeArrowheads="1"/>
        </xdr:cNvSpPr>
      </xdr:nvSpPr>
      <xdr:spPr bwMode="auto">
        <a:xfrm>
          <a:off x="9550101" y="17633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110</xdr:row>
      <xdr:rowOff>0</xdr:rowOff>
    </xdr:from>
    <xdr:ext cx="104775" cy="210011"/>
    <xdr:sp macro="" textlink="">
      <xdr:nvSpPr>
        <xdr:cNvPr id="1045" name="Text Box 249">
          <a:extLst>
            <a:ext uri="{FF2B5EF4-FFF2-40B4-BE49-F238E27FC236}">
              <a16:creationId xmlns:a16="http://schemas.microsoft.com/office/drawing/2014/main" id="{6C22C0F4-F1C6-4FB3-B562-40D35ECC8780}"/>
            </a:ext>
          </a:extLst>
        </xdr:cNvPr>
        <xdr:cNvSpPr txBox="1">
          <a:spLocks noChangeArrowheads="1"/>
        </xdr:cNvSpPr>
      </xdr:nvSpPr>
      <xdr:spPr bwMode="auto">
        <a:xfrm>
          <a:off x="9552641" y="1763357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110</xdr:row>
      <xdr:rowOff>0</xdr:rowOff>
    </xdr:from>
    <xdr:ext cx="117326" cy="218324"/>
    <xdr:sp macro="" textlink="">
      <xdr:nvSpPr>
        <xdr:cNvPr id="1046" name="Text Box 249">
          <a:extLst>
            <a:ext uri="{FF2B5EF4-FFF2-40B4-BE49-F238E27FC236}">
              <a16:creationId xmlns:a16="http://schemas.microsoft.com/office/drawing/2014/main" id="{854F0336-6B55-4579-8D2C-CF9BE304C14D}"/>
            </a:ext>
          </a:extLst>
        </xdr:cNvPr>
        <xdr:cNvSpPr txBox="1">
          <a:spLocks noChangeArrowheads="1"/>
        </xdr:cNvSpPr>
      </xdr:nvSpPr>
      <xdr:spPr bwMode="auto">
        <a:xfrm>
          <a:off x="9552641" y="1763357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1047" name="Text Box 249">
          <a:extLst>
            <a:ext uri="{FF2B5EF4-FFF2-40B4-BE49-F238E27FC236}">
              <a16:creationId xmlns:a16="http://schemas.microsoft.com/office/drawing/2014/main" id="{B4B60C56-7DCF-4E85-980E-DD1C22788EEE}"/>
            </a:ext>
          </a:extLst>
        </xdr:cNvPr>
        <xdr:cNvSpPr txBox="1">
          <a:spLocks noChangeArrowheads="1"/>
        </xdr:cNvSpPr>
      </xdr:nvSpPr>
      <xdr:spPr bwMode="auto">
        <a:xfrm>
          <a:off x="9550101" y="17633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1048" name="Text Box 249">
          <a:extLst>
            <a:ext uri="{FF2B5EF4-FFF2-40B4-BE49-F238E27FC236}">
              <a16:creationId xmlns:a16="http://schemas.microsoft.com/office/drawing/2014/main" id="{BB29CE58-E6D7-403D-BF54-2A3676129404}"/>
            </a:ext>
          </a:extLst>
        </xdr:cNvPr>
        <xdr:cNvSpPr txBox="1">
          <a:spLocks noChangeArrowheads="1"/>
        </xdr:cNvSpPr>
      </xdr:nvSpPr>
      <xdr:spPr bwMode="auto">
        <a:xfrm>
          <a:off x="9550101" y="17633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1049" name="Text Box 249">
          <a:extLst>
            <a:ext uri="{FF2B5EF4-FFF2-40B4-BE49-F238E27FC236}">
              <a16:creationId xmlns:a16="http://schemas.microsoft.com/office/drawing/2014/main" id="{64341038-0AB8-49E1-93EF-8292B96D1282}"/>
            </a:ext>
          </a:extLst>
        </xdr:cNvPr>
        <xdr:cNvSpPr txBox="1">
          <a:spLocks noChangeArrowheads="1"/>
        </xdr:cNvSpPr>
      </xdr:nvSpPr>
      <xdr:spPr bwMode="auto">
        <a:xfrm>
          <a:off x="9550101" y="17633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1050" name="Text Box 249">
          <a:extLst>
            <a:ext uri="{FF2B5EF4-FFF2-40B4-BE49-F238E27FC236}">
              <a16:creationId xmlns:a16="http://schemas.microsoft.com/office/drawing/2014/main" id="{95755781-54CB-46C6-B1D9-E78DD6DD026C}"/>
            </a:ext>
          </a:extLst>
        </xdr:cNvPr>
        <xdr:cNvSpPr txBox="1">
          <a:spLocks noChangeArrowheads="1"/>
        </xdr:cNvSpPr>
      </xdr:nvSpPr>
      <xdr:spPr bwMode="auto">
        <a:xfrm>
          <a:off x="9550101" y="17633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51" name="Text Box 249">
          <a:extLst>
            <a:ext uri="{FF2B5EF4-FFF2-40B4-BE49-F238E27FC236}">
              <a16:creationId xmlns:a16="http://schemas.microsoft.com/office/drawing/2014/main" id="{1FC6CFBF-C141-4835-AC6E-826831AFE52A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2" name="Text Box 249">
          <a:extLst>
            <a:ext uri="{FF2B5EF4-FFF2-40B4-BE49-F238E27FC236}">
              <a16:creationId xmlns:a16="http://schemas.microsoft.com/office/drawing/2014/main" id="{95753EB0-4592-465F-8887-0A9705572459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3" name="Text Box 249">
          <a:extLst>
            <a:ext uri="{FF2B5EF4-FFF2-40B4-BE49-F238E27FC236}">
              <a16:creationId xmlns:a16="http://schemas.microsoft.com/office/drawing/2014/main" id="{A3372C49-60D5-4000-B1B9-842C6AB25855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4" name="Text Box 249">
          <a:extLst>
            <a:ext uri="{FF2B5EF4-FFF2-40B4-BE49-F238E27FC236}">
              <a16:creationId xmlns:a16="http://schemas.microsoft.com/office/drawing/2014/main" id="{20DAB3D8-A6F5-41FC-8EB7-829041F5AD40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5" name="Text Box 249">
          <a:extLst>
            <a:ext uri="{FF2B5EF4-FFF2-40B4-BE49-F238E27FC236}">
              <a16:creationId xmlns:a16="http://schemas.microsoft.com/office/drawing/2014/main" id="{50D1E5D1-347C-408E-9E25-1D502B7D17A0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6" name="Text Box 249">
          <a:extLst>
            <a:ext uri="{FF2B5EF4-FFF2-40B4-BE49-F238E27FC236}">
              <a16:creationId xmlns:a16="http://schemas.microsoft.com/office/drawing/2014/main" id="{38887E3E-6143-4566-B6F4-0B70D5A93992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7" name="Text Box 249">
          <a:extLst>
            <a:ext uri="{FF2B5EF4-FFF2-40B4-BE49-F238E27FC236}">
              <a16:creationId xmlns:a16="http://schemas.microsoft.com/office/drawing/2014/main" id="{C8B6A869-853E-4FDC-9D63-038E603E714F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58" name="Text Box 249">
          <a:extLst>
            <a:ext uri="{FF2B5EF4-FFF2-40B4-BE49-F238E27FC236}">
              <a16:creationId xmlns:a16="http://schemas.microsoft.com/office/drawing/2014/main" id="{A0AB1EB3-ADB0-4629-9CDD-B969BA4EAD57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9" name="Text Box 249">
          <a:extLst>
            <a:ext uri="{FF2B5EF4-FFF2-40B4-BE49-F238E27FC236}">
              <a16:creationId xmlns:a16="http://schemas.microsoft.com/office/drawing/2014/main" id="{F6C4BCEC-4C84-44EA-8090-F402097C3309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60" name="Text Box 249">
          <a:extLst>
            <a:ext uri="{FF2B5EF4-FFF2-40B4-BE49-F238E27FC236}">
              <a16:creationId xmlns:a16="http://schemas.microsoft.com/office/drawing/2014/main" id="{0BAB59F2-0E19-4FBE-A99E-74419C52D31F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61" name="Text Box 249">
          <a:extLst>
            <a:ext uri="{FF2B5EF4-FFF2-40B4-BE49-F238E27FC236}">
              <a16:creationId xmlns:a16="http://schemas.microsoft.com/office/drawing/2014/main" id="{9686C901-EF2F-4A49-B20A-5612FAB7F915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62" name="Text Box 249">
          <a:extLst>
            <a:ext uri="{FF2B5EF4-FFF2-40B4-BE49-F238E27FC236}">
              <a16:creationId xmlns:a16="http://schemas.microsoft.com/office/drawing/2014/main" id="{1B8DBA76-8BB5-4C01-904E-66496635CB04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63" name="Text Box 249">
          <a:extLst>
            <a:ext uri="{FF2B5EF4-FFF2-40B4-BE49-F238E27FC236}">
              <a16:creationId xmlns:a16="http://schemas.microsoft.com/office/drawing/2014/main" id="{29EF87F7-BF9D-4967-924D-75D3D244246B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64" name="Text Box 249">
          <a:extLst>
            <a:ext uri="{FF2B5EF4-FFF2-40B4-BE49-F238E27FC236}">
              <a16:creationId xmlns:a16="http://schemas.microsoft.com/office/drawing/2014/main" id="{BFA7E5AC-88DB-4632-8E05-DC39DB0AA930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65" name="Text Box 249">
          <a:extLst>
            <a:ext uri="{FF2B5EF4-FFF2-40B4-BE49-F238E27FC236}">
              <a16:creationId xmlns:a16="http://schemas.microsoft.com/office/drawing/2014/main" id="{E2633839-0DC8-497A-9BB8-EE8C7AAD4FB2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66" name="Text Box 249">
          <a:extLst>
            <a:ext uri="{FF2B5EF4-FFF2-40B4-BE49-F238E27FC236}">
              <a16:creationId xmlns:a16="http://schemas.microsoft.com/office/drawing/2014/main" id="{7E18081D-59C1-4EEE-BBF0-F2C5FD434A4A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67" name="Text Box 249">
          <a:extLst>
            <a:ext uri="{FF2B5EF4-FFF2-40B4-BE49-F238E27FC236}">
              <a16:creationId xmlns:a16="http://schemas.microsoft.com/office/drawing/2014/main" id="{D259AF3A-3D13-47B6-9458-7E64ED6D597F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68" name="Text Box 249">
          <a:extLst>
            <a:ext uri="{FF2B5EF4-FFF2-40B4-BE49-F238E27FC236}">
              <a16:creationId xmlns:a16="http://schemas.microsoft.com/office/drawing/2014/main" id="{C9AF858D-7F4B-4745-9183-B5C1E59D76A1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69" name="Text Box 249">
          <a:extLst>
            <a:ext uri="{FF2B5EF4-FFF2-40B4-BE49-F238E27FC236}">
              <a16:creationId xmlns:a16="http://schemas.microsoft.com/office/drawing/2014/main" id="{A9507E78-A96B-4826-BF5F-FF87A41A15D3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70" name="Text Box 249">
          <a:extLst>
            <a:ext uri="{FF2B5EF4-FFF2-40B4-BE49-F238E27FC236}">
              <a16:creationId xmlns:a16="http://schemas.microsoft.com/office/drawing/2014/main" id="{FB37F78D-30AB-4957-8128-DF7338CAA541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71" name="Text Box 249">
          <a:extLst>
            <a:ext uri="{FF2B5EF4-FFF2-40B4-BE49-F238E27FC236}">
              <a16:creationId xmlns:a16="http://schemas.microsoft.com/office/drawing/2014/main" id="{DE52EA1D-2BF8-48AE-916B-EB72BBC62823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72" name="Text Box 249">
          <a:extLst>
            <a:ext uri="{FF2B5EF4-FFF2-40B4-BE49-F238E27FC236}">
              <a16:creationId xmlns:a16="http://schemas.microsoft.com/office/drawing/2014/main" id="{43AA885C-AD89-47D8-B8A8-CA4B5CBC774B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73" name="Text Box 249">
          <a:extLst>
            <a:ext uri="{FF2B5EF4-FFF2-40B4-BE49-F238E27FC236}">
              <a16:creationId xmlns:a16="http://schemas.microsoft.com/office/drawing/2014/main" id="{EB3662CB-C64C-424A-92B8-8B2AEEAD3866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74" name="Text Box 249">
          <a:extLst>
            <a:ext uri="{FF2B5EF4-FFF2-40B4-BE49-F238E27FC236}">
              <a16:creationId xmlns:a16="http://schemas.microsoft.com/office/drawing/2014/main" id="{C75BEC62-4963-4CFF-B5AF-C15621A4233E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75" name="Text Box 249">
          <a:extLst>
            <a:ext uri="{FF2B5EF4-FFF2-40B4-BE49-F238E27FC236}">
              <a16:creationId xmlns:a16="http://schemas.microsoft.com/office/drawing/2014/main" id="{5E9779A5-10EA-4F7A-A17D-CFCCDCEBD1A0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76" name="Text Box 249">
          <a:extLst>
            <a:ext uri="{FF2B5EF4-FFF2-40B4-BE49-F238E27FC236}">
              <a16:creationId xmlns:a16="http://schemas.microsoft.com/office/drawing/2014/main" id="{2236A396-48FB-4EC6-A26D-0A26083B8B45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77" name="Text Box 249">
          <a:extLst>
            <a:ext uri="{FF2B5EF4-FFF2-40B4-BE49-F238E27FC236}">
              <a16:creationId xmlns:a16="http://schemas.microsoft.com/office/drawing/2014/main" id="{5BACAD1F-7CD1-42F6-A04C-A69337A7F60A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78" name="Text Box 249">
          <a:extLst>
            <a:ext uri="{FF2B5EF4-FFF2-40B4-BE49-F238E27FC236}">
              <a16:creationId xmlns:a16="http://schemas.microsoft.com/office/drawing/2014/main" id="{52D7F6BB-0F7B-4697-8B81-5E236364441A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79" name="Text Box 249">
          <a:extLst>
            <a:ext uri="{FF2B5EF4-FFF2-40B4-BE49-F238E27FC236}">
              <a16:creationId xmlns:a16="http://schemas.microsoft.com/office/drawing/2014/main" id="{FCCBDBAD-5D03-4ADF-B6CA-65A469E67088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80" name="Text Box 249">
          <a:extLst>
            <a:ext uri="{FF2B5EF4-FFF2-40B4-BE49-F238E27FC236}">
              <a16:creationId xmlns:a16="http://schemas.microsoft.com/office/drawing/2014/main" id="{26216B30-F724-4FB3-9798-A89C8B208D97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81" name="Text Box 249">
          <a:extLst>
            <a:ext uri="{FF2B5EF4-FFF2-40B4-BE49-F238E27FC236}">
              <a16:creationId xmlns:a16="http://schemas.microsoft.com/office/drawing/2014/main" id="{E419B072-00A3-4770-8F11-D9D24731FBBA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82" name="Text Box 249">
          <a:extLst>
            <a:ext uri="{FF2B5EF4-FFF2-40B4-BE49-F238E27FC236}">
              <a16:creationId xmlns:a16="http://schemas.microsoft.com/office/drawing/2014/main" id="{9661498E-4FD0-4F55-849E-FA2327ACD7AC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83" name="Text Box 249">
          <a:extLst>
            <a:ext uri="{FF2B5EF4-FFF2-40B4-BE49-F238E27FC236}">
              <a16:creationId xmlns:a16="http://schemas.microsoft.com/office/drawing/2014/main" id="{1920E12D-FAC8-4683-AD97-6E9A930431A0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84" name="Text Box 249">
          <a:extLst>
            <a:ext uri="{FF2B5EF4-FFF2-40B4-BE49-F238E27FC236}">
              <a16:creationId xmlns:a16="http://schemas.microsoft.com/office/drawing/2014/main" id="{BDEEFA6B-217E-4771-BBD8-F0CA8EA7621E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85" name="Text Box 249">
          <a:extLst>
            <a:ext uri="{FF2B5EF4-FFF2-40B4-BE49-F238E27FC236}">
              <a16:creationId xmlns:a16="http://schemas.microsoft.com/office/drawing/2014/main" id="{6C14044A-73C3-4013-8C76-73886C360592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86" name="Text Box 249">
          <a:extLst>
            <a:ext uri="{FF2B5EF4-FFF2-40B4-BE49-F238E27FC236}">
              <a16:creationId xmlns:a16="http://schemas.microsoft.com/office/drawing/2014/main" id="{C1124CBF-ED00-4F3D-B1A4-2CFE36AFED67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87" name="Text Box 249">
          <a:extLst>
            <a:ext uri="{FF2B5EF4-FFF2-40B4-BE49-F238E27FC236}">
              <a16:creationId xmlns:a16="http://schemas.microsoft.com/office/drawing/2014/main" id="{FE162950-C3A2-407E-BA5B-BEF1BAA992C5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88" name="Text Box 249">
          <a:extLst>
            <a:ext uri="{FF2B5EF4-FFF2-40B4-BE49-F238E27FC236}">
              <a16:creationId xmlns:a16="http://schemas.microsoft.com/office/drawing/2014/main" id="{10DD4864-F584-45C2-92B2-F39D328A5F21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89" name="Text Box 249">
          <a:extLst>
            <a:ext uri="{FF2B5EF4-FFF2-40B4-BE49-F238E27FC236}">
              <a16:creationId xmlns:a16="http://schemas.microsoft.com/office/drawing/2014/main" id="{DF6E4012-D3B4-42D4-A482-36DA774B30C9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90" name="Text Box 249">
          <a:extLst>
            <a:ext uri="{FF2B5EF4-FFF2-40B4-BE49-F238E27FC236}">
              <a16:creationId xmlns:a16="http://schemas.microsoft.com/office/drawing/2014/main" id="{611A26A9-B5EB-44F2-9420-20D704DAF349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91" name="Text Box 249">
          <a:extLst>
            <a:ext uri="{FF2B5EF4-FFF2-40B4-BE49-F238E27FC236}">
              <a16:creationId xmlns:a16="http://schemas.microsoft.com/office/drawing/2014/main" id="{A3A16382-82DE-4732-97E8-3C18E88E3890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92" name="Text Box 249">
          <a:extLst>
            <a:ext uri="{FF2B5EF4-FFF2-40B4-BE49-F238E27FC236}">
              <a16:creationId xmlns:a16="http://schemas.microsoft.com/office/drawing/2014/main" id="{C6B20132-09E9-424C-A597-0F62FADC70B5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93" name="Text Box 249">
          <a:extLst>
            <a:ext uri="{FF2B5EF4-FFF2-40B4-BE49-F238E27FC236}">
              <a16:creationId xmlns:a16="http://schemas.microsoft.com/office/drawing/2014/main" id="{3525977A-317B-4352-857D-8629EEF333F3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94" name="Text Box 249">
          <a:extLst>
            <a:ext uri="{FF2B5EF4-FFF2-40B4-BE49-F238E27FC236}">
              <a16:creationId xmlns:a16="http://schemas.microsoft.com/office/drawing/2014/main" id="{34DFA9D7-7A84-4275-9D13-DCB568A035B4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95" name="Text Box 249">
          <a:extLst>
            <a:ext uri="{FF2B5EF4-FFF2-40B4-BE49-F238E27FC236}">
              <a16:creationId xmlns:a16="http://schemas.microsoft.com/office/drawing/2014/main" id="{D3A9D8CB-87E2-410D-969D-6A3DD92E0D4A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96" name="Text Box 249">
          <a:extLst>
            <a:ext uri="{FF2B5EF4-FFF2-40B4-BE49-F238E27FC236}">
              <a16:creationId xmlns:a16="http://schemas.microsoft.com/office/drawing/2014/main" id="{186A1623-CAFC-4006-B3BC-BD9365616CF1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97" name="Text Box 249">
          <a:extLst>
            <a:ext uri="{FF2B5EF4-FFF2-40B4-BE49-F238E27FC236}">
              <a16:creationId xmlns:a16="http://schemas.microsoft.com/office/drawing/2014/main" id="{7484DBED-0468-4B26-A56A-694DDC9ADEE6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98" name="Text Box 249">
          <a:extLst>
            <a:ext uri="{FF2B5EF4-FFF2-40B4-BE49-F238E27FC236}">
              <a16:creationId xmlns:a16="http://schemas.microsoft.com/office/drawing/2014/main" id="{E5E2FFB7-AB1D-4147-8703-092DC81916EF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99" name="Text Box 249">
          <a:extLst>
            <a:ext uri="{FF2B5EF4-FFF2-40B4-BE49-F238E27FC236}">
              <a16:creationId xmlns:a16="http://schemas.microsoft.com/office/drawing/2014/main" id="{F718EFDE-EBE1-40E1-8191-BA1FB1E6AC5E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100" name="Text Box 249">
          <a:extLst>
            <a:ext uri="{FF2B5EF4-FFF2-40B4-BE49-F238E27FC236}">
              <a16:creationId xmlns:a16="http://schemas.microsoft.com/office/drawing/2014/main" id="{E9891854-8C8A-4469-AB1B-9773C4D6E5DC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101" name="Text Box 249">
          <a:extLst>
            <a:ext uri="{FF2B5EF4-FFF2-40B4-BE49-F238E27FC236}">
              <a16:creationId xmlns:a16="http://schemas.microsoft.com/office/drawing/2014/main" id="{25FE6E76-8C22-4E44-9CF9-1849DD382974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102" name="Text Box 249">
          <a:extLst>
            <a:ext uri="{FF2B5EF4-FFF2-40B4-BE49-F238E27FC236}">
              <a16:creationId xmlns:a16="http://schemas.microsoft.com/office/drawing/2014/main" id="{25B2A692-7116-4475-87AB-9EE0B313C8DB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103" name="Text Box 249">
          <a:extLst>
            <a:ext uri="{FF2B5EF4-FFF2-40B4-BE49-F238E27FC236}">
              <a16:creationId xmlns:a16="http://schemas.microsoft.com/office/drawing/2014/main" id="{6507FCD1-5FB0-4033-86B6-9A69DA6FC5C9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104" name="Text Box 249">
          <a:extLst>
            <a:ext uri="{FF2B5EF4-FFF2-40B4-BE49-F238E27FC236}">
              <a16:creationId xmlns:a16="http://schemas.microsoft.com/office/drawing/2014/main" id="{9B66DDDD-7033-48F8-8CBF-FEF6ED2ACFE1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105" name="Text Box 249">
          <a:extLst>
            <a:ext uri="{FF2B5EF4-FFF2-40B4-BE49-F238E27FC236}">
              <a16:creationId xmlns:a16="http://schemas.microsoft.com/office/drawing/2014/main" id="{A49BFFAB-5F76-4E8F-803D-205C0B3E63F8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106" name="Text Box 249">
          <a:extLst>
            <a:ext uri="{FF2B5EF4-FFF2-40B4-BE49-F238E27FC236}">
              <a16:creationId xmlns:a16="http://schemas.microsoft.com/office/drawing/2014/main" id="{6976D337-A13E-444B-9927-33AFC093BA4D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107" name="Text Box 249">
          <a:extLst>
            <a:ext uri="{FF2B5EF4-FFF2-40B4-BE49-F238E27FC236}">
              <a16:creationId xmlns:a16="http://schemas.microsoft.com/office/drawing/2014/main" id="{310736A3-19E5-4B6D-B18A-C8F3F5751DE3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108" name="Text Box 249">
          <a:extLst>
            <a:ext uri="{FF2B5EF4-FFF2-40B4-BE49-F238E27FC236}">
              <a16:creationId xmlns:a16="http://schemas.microsoft.com/office/drawing/2014/main" id="{4CA639CB-CEBE-4864-A39A-0D12FA3913A9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109" name="Text Box 249">
          <a:extLst>
            <a:ext uri="{FF2B5EF4-FFF2-40B4-BE49-F238E27FC236}">
              <a16:creationId xmlns:a16="http://schemas.microsoft.com/office/drawing/2014/main" id="{A3413D7F-C62D-4B86-ACC0-2EA2DBDFEC75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110" name="Text Box 249">
          <a:extLst>
            <a:ext uri="{FF2B5EF4-FFF2-40B4-BE49-F238E27FC236}">
              <a16:creationId xmlns:a16="http://schemas.microsoft.com/office/drawing/2014/main" id="{D156E2FD-72F4-44A2-8D8A-3E3530A1DE73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111" name="Text Box 249">
          <a:extLst>
            <a:ext uri="{FF2B5EF4-FFF2-40B4-BE49-F238E27FC236}">
              <a16:creationId xmlns:a16="http://schemas.microsoft.com/office/drawing/2014/main" id="{61A8B88B-8443-495D-B124-D4BE5E504F22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112" name="Text Box 249">
          <a:extLst>
            <a:ext uri="{FF2B5EF4-FFF2-40B4-BE49-F238E27FC236}">
              <a16:creationId xmlns:a16="http://schemas.microsoft.com/office/drawing/2014/main" id="{1A65B003-0341-41E5-9A6A-F11FEE9439F0}"/>
            </a:ext>
          </a:extLst>
        </xdr:cNvPr>
        <xdr:cNvSpPr txBox="1">
          <a:spLocks noChangeArrowheads="1"/>
        </xdr:cNvSpPr>
      </xdr:nvSpPr>
      <xdr:spPr bwMode="auto">
        <a:xfrm>
          <a:off x="9550101" y="1054608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113" name="Text Box 249">
          <a:extLst>
            <a:ext uri="{FF2B5EF4-FFF2-40B4-BE49-F238E27FC236}">
              <a16:creationId xmlns:a16="http://schemas.microsoft.com/office/drawing/2014/main" id="{F8301849-4786-42E9-BDDC-8D89DFB7892D}"/>
            </a:ext>
          </a:extLst>
        </xdr:cNvPr>
        <xdr:cNvSpPr txBox="1">
          <a:spLocks noChangeArrowheads="1"/>
        </xdr:cNvSpPr>
      </xdr:nvSpPr>
      <xdr:spPr bwMode="auto">
        <a:xfrm>
          <a:off x="9552641" y="1054608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2501900</xdr:colOff>
      <xdr:row>27</xdr:row>
      <xdr:rowOff>0</xdr:rowOff>
    </xdr:from>
    <xdr:to>
      <xdr:col>6</xdr:col>
      <xdr:colOff>122376</xdr:colOff>
      <xdr:row>28</xdr:row>
      <xdr:rowOff>50684</xdr:rowOff>
    </xdr:to>
    <xdr:sp macro="" textlink="">
      <xdr:nvSpPr>
        <xdr:cNvPr id="2" name="Text Box 249">
          <a:extLst>
            <a:ext uri="{FF2B5EF4-FFF2-40B4-BE49-F238E27FC236}">
              <a16:creationId xmlns:a16="http://schemas.microsoft.com/office/drawing/2014/main" id="{97C4F2D9-DAD4-41B6-A16A-945D755D2BB8}"/>
            </a:ext>
          </a:extLst>
        </xdr:cNvPr>
        <xdr:cNvSpPr txBox="1">
          <a:spLocks noChangeArrowheads="1"/>
        </xdr:cNvSpPr>
      </xdr:nvSpPr>
      <xdr:spPr bwMode="auto">
        <a:xfrm>
          <a:off x="9558020" y="5539740"/>
          <a:ext cx="11983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3" name="Text Box 249">
          <a:extLst>
            <a:ext uri="{FF2B5EF4-FFF2-40B4-BE49-F238E27FC236}">
              <a16:creationId xmlns:a16="http://schemas.microsoft.com/office/drawing/2014/main" id="{B3074FB4-AE18-4A56-B41C-E3BA4F3F4A9C}"/>
            </a:ext>
          </a:extLst>
        </xdr:cNvPr>
        <xdr:cNvSpPr txBox="1">
          <a:spLocks noChangeArrowheads="1"/>
        </xdr:cNvSpPr>
      </xdr:nvSpPr>
      <xdr:spPr bwMode="auto">
        <a:xfrm>
          <a:off x="9555480" y="5539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4" name="Text Box 249">
          <a:extLst>
            <a:ext uri="{FF2B5EF4-FFF2-40B4-BE49-F238E27FC236}">
              <a16:creationId xmlns:a16="http://schemas.microsoft.com/office/drawing/2014/main" id="{86715A96-F512-480F-8DBB-BD1832794FAE}"/>
            </a:ext>
          </a:extLst>
        </xdr:cNvPr>
        <xdr:cNvSpPr txBox="1">
          <a:spLocks noChangeArrowheads="1"/>
        </xdr:cNvSpPr>
      </xdr:nvSpPr>
      <xdr:spPr bwMode="auto">
        <a:xfrm>
          <a:off x="9555480" y="5539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5" name="Text Box 249">
          <a:extLst>
            <a:ext uri="{FF2B5EF4-FFF2-40B4-BE49-F238E27FC236}">
              <a16:creationId xmlns:a16="http://schemas.microsoft.com/office/drawing/2014/main" id="{D3EA73F1-ACF2-40F4-9EC4-7AEBE61963D0}"/>
            </a:ext>
          </a:extLst>
        </xdr:cNvPr>
        <xdr:cNvSpPr txBox="1">
          <a:spLocks noChangeArrowheads="1"/>
        </xdr:cNvSpPr>
      </xdr:nvSpPr>
      <xdr:spPr bwMode="auto">
        <a:xfrm>
          <a:off x="9555480" y="5539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6" name="Text Box 249">
          <a:extLst>
            <a:ext uri="{FF2B5EF4-FFF2-40B4-BE49-F238E27FC236}">
              <a16:creationId xmlns:a16="http://schemas.microsoft.com/office/drawing/2014/main" id="{4E393DEB-4EE1-4FAF-9C2E-A28117F68C3D}"/>
            </a:ext>
          </a:extLst>
        </xdr:cNvPr>
        <xdr:cNvSpPr txBox="1">
          <a:spLocks noChangeArrowheads="1"/>
        </xdr:cNvSpPr>
      </xdr:nvSpPr>
      <xdr:spPr bwMode="auto">
        <a:xfrm>
          <a:off x="9555480" y="5539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7" name="Text Box 249">
          <a:extLst>
            <a:ext uri="{FF2B5EF4-FFF2-40B4-BE49-F238E27FC236}">
              <a16:creationId xmlns:a16="http://schemas.microsoft.com/office/drawing/2014/main" id="{931A1338-2452-4F71-AAF0-09CF7DAFB68C}"/>
            </a:ext>
          </a:extLst>
        </xdr:cNvPr>
        <xdr:cNvSpPr txBox="1">
          <a:spLocks noChangeArrowheads="1"/>
        </xdr:cNvSpPr>
      </xdr:nvSpPr>
      <xdr:spPr bwMode="auto">
        <a:xfrm>
          <a:off x="9555480" y="5539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27</xdr:row>
      <xdr:rowOff>0</xdr:rowOff>
    </xdr:from>
    <xdr:ext cx="104775" cy="208801"/>
    <xdr:sp macro="" textlink="">
      <xdr:nvSpPr>
        <xdr:cNvPr id="8" name="Text Box 249">
          <a:extLst>
            <a:ext uri="{FF2B5EF4-FFF2-40B4-BE49-F238E27FC236}">
              <a16:creationId xmlns:a16="http://schemas.microsoft.com/office/drawing/2014/main" id="{F4CC7BE1-15E0-4736-B310-7B36F73D0DC1}"/>
            </a:ext>
          </a:extLst>
        </xdr:cNvPr>
        <xdr:cNvSpPr txBox="1">
          <a:spLocks noChangeArrowheads="1"/>
        </xdr:cNvSpPr>
      </xdr:nvSpPr>
      <xdr:spPr bwMode="auto">
        <a:xfrm>
          <a:off x="9555480" y="5539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27</xdr:row>
      <xdr:rowOff>0</xdr:rowOff>
    </xdr:from>
    <xdr:ext cx="104775" cy="210011"/>
    <xdr:sp macro="" textlink="">
      <xdr:nvSpPr>
        <xdr:cNvPr id="9" name="Text Box 249">
          <a:extLst>
            <a:ext uri="{FF2B5EF4-FFF2-40B4-BE49-F238E27FC236}">
              <a16:creationId xmlns:a16="http://schemas.microsoft.com/office/drawing/2014/main" id="{135C000C-943E-4440-89DC-636C6EA2A4BD}"/>
            </a:ext>
          </a:extLst>
        </xdr:cNvPr>
        <xdr:cNvSpPr txBox="1">
          <a:spLocks noChangeArrowheads="1"/>
        </xdr:cNvSpPr>
      </xdr:nvSpPr>
      <xdr:spPr bwMode="auto">
        <a:xfrm>
          <a:off x="9558020" y="55397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15</xdr:col>
      <xdr:colOff>492117</xdr:colOff>
      <xdr:row>0</xdr:row>
      <xdr:rowOff>39077</xdr:rowOff>
    </xdr:from>
    <xdr:to>
      <xdr:col>17</xdr:col>
      <xdr:colOff>59267</xdr:colOff>
      <xdr:row>2</xdr:row>
      <xdr:rowOff>64478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AB935912-437C-4262-8E9C-A6A8738A9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97037" y="39077"/>
          <a:ext cx="1075910" cy="5435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2501900</xdr:colOff>
      <xdr:row>118</xdr:row>
      <xdr:rowOff>0</xdr:rowOff>
    </xdr:from>
    <xdr:ext cx="119019" cy="220018"/>
    <xdr:sp macro="" textlink="">
      <xdr:nvSpPr>
        <xdr:cNvPr id="11" name="Text Box 249">
          <a:extLst>
            <a:ext uri="{FF2B5EF4-FFF2-40B4-BE49-F238E27FC236}">
              <a16:creationId xmlns:a16="http://schemas.microsoft.com/office/drawing/2014/main" id="{8E9773D5-291C-4C96-B9D0-CF9EA0EFE874}"/>
            </a:ext>
          </a:extLst>
        </xdr:cNvPr>
        <xdr:cNvSpPr txBox="1">
          <a:spLocks noChangeArrowheads="1"/>
        </xdr:cNvSpPr>
      </xdr:nvSpPr>
      <xdr:spPr bwMode="auto">
        <a:xfrm>
          <a:off x="9558020" y="20794980"/>
          <a:ext cx="119019" cy="2200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12" name="Text Box 249">
          <a:extLst>
            <a:ext uri="{FF2B5EF4-FFF2-40B4-BE49-F238E27FC236}">
              <a16:creationId xmlns:a16="http://schemas.microsoft.com/office/drawing/2014/main" id="{CD2DD2D4-8D78-404A-9BB9-7D89020F8B33}"/>
            </a:ext>
          </a:extLst>
        </xdr:cNvPr>
        <xdr:cNvSpPr txBox="1">
          <a:spLocks noChangeArrowheads="1"/>
        </xdr:cNvSpPr>
      </xdr:nvSpPr>
      <xdr:spPr bwMode="auto">
        <a:xfrm>
          <a:off x="9555480" y="20794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118</xdr:row>
      <xdr:rowOff>0</xdr:rowOff>
    </xdr:from>
    <xdr:ext cx="104775" cy="208801"/>
    <xdr:sp macro="" textlink="">
      <xdr:nvSpPr>
        <xdr:cNvPr id="13" name="Text Box 249">
          <a:extLst>
            <a:ext uri="{FF2B5EF4-FFF2-40B4-BE49-F238E27FC236}">
              <a16:creationId xmlns:a16="http://schemas.microsoft.com/office/drawing/2014/main" id="{8E3F4223-EF34-4186-A4E9-F55306F10C01}"/>
            </a:ext>
          </a:extLst>
        </xdr:cNvPr>
        <xdr:cNvSpPr txBox="1">
          <a:spLocks noChangeArrowheads="1"/>
        </xdr:cNvSpPr>
      </xdr:nvSpPr>
      <xdr:spPr bwMode="auto">
        <a:xfrm>
          <a:off x="9558020" y="20794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14" name="Text Box 249">
          <a:extLst>
            <a:ext uri="{FF2B5EF4-FFF2-40B4-BE49-F238E27FC236}">
              <a16:creationId xmlns:a16="http://schemas.microsoft.com/office/drawing/2014/main" id="{46E302B6-7378-43B0-80D8-B3DBD7C06997}"/>
            </a:ext>
          </a:extLst>
        </xdr:cNvPr>
        <xdr:cNvSpPr txBox="1">
          <a:spLocks noChangeArrowheads="1"/>
        </xdr:cNvSpPr>
      </xdr:nvSpPr>
      <xdr:spPr bwMode="auto">
        <a:xfrm>
          <a:off x="9555480" y="20794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15" name="Text Box 249">
          <a:extLst>
            <a:ext uri="{FF2B5EF4-FFF2-40B4-BE49-F238E27FC236}">
              <a16:creationId xmlns:a16="http://schemas.microsoft.com/office/drawing/2014/main" id="{507376E2-513A-4D47-97BD-59ED3BD777DC}"/>
            </a:ext>
          </a:extLst>
        </xdr:cNvPr>
        <xdr:cNvSpPr txBox="1">
          <a:spLocks noChangeArrowheads="1"/>
        </xdr:cNvSpPr>
      </xdr:nvSpPr>
      <xdr:spPr bwMode="auto">
        <a:xfrm>
          <a:off x="9555480" y="20794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16" name="Text Box 249">
          <a:extLst>
            <a:ext uri="{FF2B5EF4-FFF2-40B4-BE49-F238E27FC236}">
              <a16:creationId xmlns:a16="http://schemas.microsoft.com/office/drawing/2014/main" id="{11769750-F37E-4BAF-AA8E-D5F73B919A14}"/>
            </a:ext>
          </a:extLst>
        </xdr:cNvPr>
        <xdr:cNvSpPr txBox="1">
          <a:spLocks noChangeArrowheads="1"/>
        </xdr:cNvSpPr>
      </xdr:nvSpPr>
      <xdr:spPr bwMode="auto">
        <a:xfrm>
          <a:off x="9555480" y="20794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118</xdr:row>
      <xdr:rowOff>0</xdr:rowOff>
    </xdr:from>
    <xdr:ext cx="119019" cy="205413"/>
    <xdr:sp macro="" textlink="">
      <xdr:nvSpPr>
        <xdr:cNvPr id="17" name="Text Box 249">
          <a:extLst>
            <a:ext uri="{FF2B5EF4-FFF2-40B4-BE49-F238E27FC236}">
              <a16:creationId xmlns:a16="http://schemas.microsoft.com/office/drawing/2014/main" id="{D81136B5-5491-421D-9830-C7D786EFD42E}"/>
            </a:ext>
          </a:extLst>
        </xdr:cNvPr>
        <xdr:cNvSpPr txBox="1">
          <a:spLocks noChangeArrowheads="1"/>
        </xdr:cNvSpPr>
      </xdr:nvSpPr>
      <xdr:spPr bwMode="auto">
        <a:xfrm>
          <a:off x="9558020" y="20794980"/>
          <a:ext cx="119019" cy="205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18" name="Text Box 249">
          <a:extLst>
            <a:ext uri="{FF2B5EF4-FFF2-40B4-BE49-F238E27FC236}">
              <a16:creationId xmlns:a16="http://schemas.microsoft.com/office/drawing/2014/main" id="{B83322C9-4E55-4593-9F7C-46084786FA0E}"/>
            </a:ext>
          </a:extLst>
        </xdr:cNvPr>
        <xdr:cNvSpPr txBox="1">
          <a:spLocks noChangeArrowheads="1"/>
        </xdr:cNvSpPr>
      </xdr:nvSpPr>
      <xdr:spPr bwMode="auto">
        <a:xfrm>
          <a:off x="9555480" y="20794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118</xdr:row>
      <xdr:rowOff>0</xdr:rowOff>
    </xdr:from>
    <xdr:ext cx="104775" cy="208801"/>
    <xdr:sp macro="" textlink="">
      <xdr:nvSpPr>
        <xdr:cNvPr id="19" name="Text Box 249">
          <a:extLst>
            <a:ext uri="{FF2B5EF4-FFF2-40B4-BE49-F238E27FC236}">
              <a16:creationId xmlns:a16="http://schemas.microsoft.com/office/drawing/2014/main" id="{A1AA4CF4-7C40-4689-97FD-322A888C0E44}"/>
            </a:ext>
          </a:extLst>
        </xdr:cNvPr>
        <xdr:cNvSpPr txBox="1">
          <a:spLocks noChangeArrowheads="1"/>
        </xdr:cNvSpPr>
      </xdr:nvSpPr>
      <xdr:spPr bwMode="auto">
        <a:xfrm>
          <a:off x="9555480" y="20794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118</xdr:row>
      <xdr:rowOff>0</xdr:rowOff>
    </xdr:from>
    <xdr:ext cx="120015" cy="220019"/>
    <xdr:sp macro="" textlink="">
      <xdr:nvSpPr>
        <xdr:cNvPr id="20" name="Text Box 249">
          <a:extLst>
            <a:ext uri="{FF2B5EF4-FFF2-40B4-BE49-F238E27FC236}">
              <a16:creationId xmlns:a16="http://schemas.microsoft.com/office/drawing/2014/main" id="{BEB5C4E4-D404-41AE-A3E5-B55799AB21BA}"/>
            </a:ext>
          </a:extLst>
        </xdr:cNvPr>
        <xdr:cNvSpPr txBox="1">
          <a:spLocks noChangeArrowheads="1"/>
        </xdr:cNvSpPr>
      </xdr:nvSpPr>
      <xdr:spPr bwMode="auto">
        <a:xfrm>
          <a:off x="9558020" y="20794980"/>
          <a:ext cx="120015" cy="220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118</xdr:row>
      <xdr:rowOff>0</xdr:rowOff>
    </xdr:from>
    <xdr:ext cx="120015" cy="220019"/>
    <xdr:sp macro="" textlink="">
      <xdr:nvSpPr>
        <xdr:cNvPr id="21" name="Text Box 249">
          <a:extLst>
            <a:ext uri="{FF2B5EF4-FFF2-40B4-BE49-F238E27FC236}">
              <a16:creationId xmlns:a16="http://schemas.microsoft.com/office/drawing/2014/main" id="{D030CEA3-DFEF-4297-9E6B-8C87424A31D4}"/>
            </a:ext>
          </a:extLst>
        </xdr:cNvPr>
        <xdr:cNvSpPr txBox="1">
          <a:spLocks noChangeArrowheads="1"/>
        </xdr:cNvSpPr>
      </xdr:nvSpPr>
      <xdr:spPr bwMode="auto">
        <a:xfrm>
          <a:off x="9558020" y="20794980"/>
          <a:ext cx="120015" cy="220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</xdr:row>
      <xdr:rowOff>0</xdr:rowOff>
    </xdr:from>
    <xdr:ext cx="117326" cy="218324"/>
    <xdr:sp macro="" textlink="">
      <xdr:nvSpPr>
        <xdr:cNvPr id="22" name="Text Box 249">
          <a:extLst>
            <a:ext uri="{FF2B5EF4-FFF2-40B4-BE49-F238E27FC236}">
              <a16:creationId xmlns:a16="http://schemas.microsoft.com/office/drawing/2014/main" id="{8D75C774-C4FC-4BB8-898B-B687B2122E76}"/>
            </a:ext>
          </a:extLst>
        </xdr:cNvPr>
        <xdr:cNvSpPr txBox="1">
          <a:spLocks noChangeArrowheads="1"/>
        </xdr:cNvSpPr>
      </xdr:nvSpPr>
      <xdr:spPr bwMode="auto">
        <a:xfrm>
          <a:off x="9558020" y="110718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23" name="Text Box 249">
          <a:extLst>
            <a:ext uri="{FF2B5EF4-FFF2-40B4-BE49-F238E27FC236}">
              <a16:creationId xmlns:a16="http://schemas.microsoft.com/office/drawing/2014/main" id="{59874926-A887-4A21-9669-6DB5319A24F5}"/>
            </a:ext>
          </a:extLst>
        </xdr:cNvPr>
        <xdr:cNvSpPr txBox="1">
          <a:spLocks noChangeArrowheads="1"/>
        </xdr:cNvSpPr>
      </xdr:nvSpPr>
      <xdr:spPr bwMode="auto">
        <a:xfrm>
          <a:off x="9555480" y="11071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24" name="Text Box 249">
          <a:extLst>
            <a:ext uri="{FF2B5EF4-FFF2-40B4-BE49-F238E27FC236}">
              <a16:creationId xmlns:a16="http://schemas.microsoft.com/office/drawing/2014/main" id="{011D585A-C9C8-47F4-9E33-51CD2CB493B1}"/>
            </a:ext>
          </a:extLst>
        </xdr:cNvPr>
        <xdr:cNvSpPr txBox="1">
          <a:spLocks noChangeArrowheads="1"/>
        </xdr:cNvSpPr>
      </xdr:nvSpPr>
      <xdr:spPr bwMode="auto">
        <a:xfrm>
          <a:off x="9555480" y="11071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25" name="Text Box 249">
          <a:extLst>
            <a:ext uri="{FF2B5EF4-FFF2-40B4-BE49-F238E27FC236}">
              <a16:creationId xmlns:a16="http://schemas.microsoft.com/office/drawing/2014/main" id="{4FE3DA62-E06A-4A72-A583-A33309982DC5}"/>
            </a:ext>
          </a:extLst>
        </xdr:cNvPr>
        <xdr:cNvSpPr txBox="1">
          <a:spLocks noChangeArrowheads="1"/>
        </xdr:cNvSpPr>
      </xdr:nvSpPr>
      <xdr:spPr bwMode="auto">
        <a:xfrm>
          <a:off x="9555480" y="11071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26" name="Text Box 249">
          <a:extLst>
            <a:ext uri="{FF2B5EF4-FFF2-40B4-BE49-F238E27FC236}">
              <a16:creationId xmlns:a16="http://schemas.microsoft.com/office/drawing/2014/main" id="{EF891EF2-5B75-4BC6-BE95-EC2AA8878918}"/>
            </a:ext>
          </a:extLst>
        </xdr:cNvPr>
        <xdr:cNvSpPr txBox="1">
          <a:spLocks noChangeArrowheads="1"/>
        </xdr:cNvSpPr>
      </xdr:nvSpPr>
      <xdr:spPr bwMode="auto">
        <a:xfrm>
          <a:off x="9555480" y="11071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27" name="Text Box 249">
          <a:extLst>
            <a:ext uri="{FF2B5EF4-FFF2-40B4-BE49-F238E27FC236}">
              <a16:creationId xmlns:a16="http://schemas.microsoft.com/office/drawing/2014/main" id="{F8830214-2C23-40B9-BAF6-D4281160FD68}"/>
            </a:ext>
          </a:extLst>
        </xdr:cNvPr>
        <xdr:cNvSpPr txBox="1">
          <a:spLocks noChangeArrowheads="1"/>
        </xdr:cNvSpPr>
      </xdr:nvSpPr>
      <xdr:spPr bwMode="auto">
        <a:xfrm>
          <a:off x="9555480" y="11071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</xdr:row>
      <xdr:rowOff>0</xdr:rowOff>
    </xdr:from>
    <xdr:ext cx="104775" cy="208801"/>
    <xdr:sp macro="" textlink="">
      <xdr:nvSpPr>
        <xdr:cNvPr id="28" name="Text Box 249">
          <a:extLst>
            <a:ext uri="{FF2B5EF4-FFF2-40B4-BE49-F238E27FC236}">
              <a16:creationId xmlns:a16="http://schemas.microsoft.com/office/drawing/2014/main" id="{A67F7930-44ED-4298-8CDD-72A9BD5782F3}"/>
            </a:ext>
          </a:extLst>
        </xdr:cNvPr>
        <xdr:cNvSpPr txBox="1">
          <a:spLocks noChangeArrowheads="1"/>
        </xdr:cNvSpPr>
      </xdr:nvSpPr>
      <xdr:spPr bwMode="auto">
        <a:xfrm>
          <a:off x="9555480" y="11071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</xdr:row>
      <xdr:rowOff>0</xdr:rowOff>
    </xdr:from>
    <xdr:ext cx="104775" cy="210011"/>
    <xdr:sp macro="" textlink="">
      <xdr:nvSpPr>
        <xdr:cNvPr id="29" name="Text Box 249">
          <a:extLst>
            <a:ext uri="{FF2B5EF4-FFF2-40B4-BE49-F238E27FC236}">
              <a16:creationId xmlns:a16="http://schemas.microsoft.com/office/drawing/2014/main" id="{583AA6F3-2894-4D92-8A25-65462CF84471}"/>
            </a:ext>
          </a:extLst>
        </xdr:cNvPr>
        <xdr:cNvSpPr txBox="1">
          <a:spLocks noChangeArrowheads="1"/>
        </xdr:cNvSpPr>
      </xdr:nvSpPr>
      <xdr:spPr bwMode="auto">
        <a:xfrm>
          <a:off x="9558020" y="110718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</xdr:row>
      <xdr:rowOff>0</xdr:rowOff>
    </xdr:from>
    <xdr:ext cx="117326" cy="218324"/>
    <xdr:sp macro="" textlink="">
      <xdr:nvSpPr>
        <xdr:cNvPr id="30" name="Text Box 249">
          <a:extLst>
            <a:ext uri="{FF2B5EF4-FFF2-40B4-BE49-F238E27FC236}">
              <a16:creationId xmlns:a16="http://schemas.microsoft.com/office/drawing/2014/main" id="{18C659E0-2C65-4093-8391-006A57C5A91D}"/>
            </a:ext>
          </a:extLst>
        </xdr:cNvPr>
        <xdr:cNvSpPr txBox="1">
          <a:spLocks noChangeArrowheads="1"/>
        </xdr:cNvSpPr>
      </xdr:nvSpPr>
      <xdr:spPr bwMode="auto">
        <a:xfrm>
          <a:off x="9558020" y="114071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31" name="Text Box 249">
          <a:extLst>
            <a:ext uri="{FF2B5EF4-FFF2-40B4-BE49-F238E27FC236}">
              <a16:creationId xmlns:a16="http://schemas.microsoft.com/office/drawing/2014/main" id="{8DDD4F03-6FDD-45F4-8C98-65E4AF701D0E}"/>
            </a:ext>
          </a:extLst>
        </xdr:cNvPr>
        <xdr:cNvSpPr txBox="1">
          <a:spLocks noChangeArrowheads="1"/>
        </xdr:cNvSpPr>
      </xdr:nvSpPr>
      <xdr:spPr bwMode="auto">
        <a:xfrm>
          <a:off x="9555480" y="11407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32" name="Text Box 249">
          <a:extLst>
            <a:ext uri="{FF2B5EF4-FFF2-40B4-BE49-F238E27FC236}">
              <a16:creationId xmlns:a16="http://schemas.microsoft.com/office/drawing/2014/main" id="{B7624540-DCC4-406D-8E65-A94C18136FA5}"/>
            </a:ext>
          </a:extLst>
        </xdr:cNvPr>
        <xdr:cNvSpPr txBox="1">
          <a:spLocks noChangeArrowheads="1"/>
        </xdr:cNvSpPr>
      </xdr:nvSpPr>
      <xdr:spPr bwMode="auto">
        <a:xfrm>
          <a:off x="9555480" y="11407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33" name="Text Box 249">
          <a:extLst>
            <a:ext uri="{FF2B5EF4-FFF2-40B4-BE49-F238E27FC236}">
              <a16:creationId xmlns:a16="http://schemas.microsoft.com/office/drawing/2014/main" id="{76F2289E-6D3C-41F1-9A38-ED0EA0CD063B}"/>
            </a:ext>
          </a:extLst>
        </xdr:cNvPr>
        <xdr:cNvSpPr txBox="1">
          <a:spLocks noChangeArrowheads="1"/>
        </xdr:cNvSpPr>
      </xdr:nvSpPr>
      <xdr:spPr bwMode="auto">
        <a:xfrm>
          <a:off x="9555480" y="11407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34" name="Text Box 249">
          <a:extLst>
            <a:ext uri="{FF2B5EF4-FFF2-40B4-BE49-F238E27FC236}">
              <a16:creationId xmlns:a16="http://schemas.microsoft.com/office/drawing/2014/main" id="{B6594F1E-D215-41F0-B47C-E9EE1218FDF8}"/>
            </a:ext>
          </a:extLst>
        </xdr:cNvPr>
        <xdr:cNvSpPr txBox="1">
          <a:spLocks noChangeArrowheads="1"/>
        </xdr:cNvSpPr>
      </xdr:nvSpPr>
      <xdr:spPr bwMode="auto">
        <a:xfrm>
          <a:off x="9555480" y="11407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35" name="Text Box 249">
          <a:extLst>
            <a:ext uri="{FF2B5EF4-FFF2-40B4-BE49-F238E27FC236}">
              <a16:creationId xmlns:a16="http://schemas.microsoft.com/office/drawing/2014/main" id="{CB15622C-6254-4D70-80B2-1BAC510F8FAB}"/>
            </a:ext>
          </a:extLst>
        </xdr:cNvPr>
        <xdr:cNvSpPr txBox="1">
          <a:spLocks noChangeArrowheads="1"/>
        </xdr:cNvSpPr>
      </xdr:nvSpPr>
      <xdr:spPr bwMode="auto">
        <a:xfrm>
          <a:off x="9555480" y="11407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</xdr:row>
      <xdr:rowOff>0</xdr:rowOff>
    </xdr:from>
    <xdr:ext cx="104775" cy="208801"/>
    <xdr:sp macro="" textlink="">
      <xdr:nvSpPr>
        <xdr:cNvPr id="36" name="Text Box 249">
          <a:extLst>
            <a:ext uri="{FF2B5EF4-FFF2-40B4-BE49-F238E27FC236}">
              <a16:creationId xmlns:a16="http://schemas.microsoft.com/office/drawing/2014/main" id="{D99E5213-A1A1-434A-A96D-1ACF8433A2F0}"/>
            </a:ext>
          </a:extLst>
        </xdr:cNvPr>
        <xdr:cNvSpPr txBox="1">
          <a:spLocks noChangeArrowheads="1"/>
        </xdr:cNvSpPr>
      </xdr:nvSpPr>
      <xdr:spPr bwMode="auto">
        <a:xfrm>
          <a:off x="9555480" y="11407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</xdr:row>
      <xdr:rowOff>0</xdr:rowOff>
    </xdr:from>
    <xdr:ext cx="104775" cy="210011"/>
    <xdr:sp macro="" textlink="">
      <xdr:nvSpPr>
        <xdr:cNvPr id="37" name="Text Box 249">
          <a:extLst>
            <a:ext uri="{FF2B5EF4-FFF2-40B4-BE49-F238E27FC236}">
              <a16:creationId xmlns:a16="http://schemas.microsoft.com/office/drawing/2014/main" id="{72505A78-A2DF-4BC4-8FA5-59860F17D251}"/>
            </a:ext>
          </a:extLst>
        </xdr:cNvPr>
        <xdr:cNvSpPr txBox="1">
          <a:spLocks noChangeArrowheads="1"/>
        </xdr:cNvSpPr>
      </xdr:nvSpPr>
      <xdr:spPr bwMode="auto">
        <a:xfrm>
          <a:off x="9558020" y="114071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</xdr:row>
      <xdr:rowOff>0</xdr:rowOff>
    </xdr:from>
    <xdr:ext cx="117326" cy="218324"/>
    <xdr:sp macro="" textlink="">
      <xdr:nvSpPr>
        <xdr:cNvPr id="38" name="Text Box 249">
          <a:extLst>
            <a:ext uri="{FF2B5EF4-FFF2-40B4-BE49-F238E27FC236}">
              <a16:creationId xmlns:a16="http://schemas.microsoft.com/office/drawing/2014/main" id="{86FBE1D2-FE01-417C-BDC8-9478502F820F}"/>
            </a:ext>
          </a:extLst>
        </xdr:cNvPr>
        <xdr:cNvSpPr txBox="1">
          <a:spLocks noChangeArrowheads="1"/>
        </xdr:cNvSpPr>
      </xdr:nvSpPr>
      <xdr:spPr bwMode="auto">
        <a:xfrm>
          <a:off x="9558020" y="119100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39" name="Text Box 249">
          <a:extLst>
            <a:ext uri="{FF2B5EF4-FFF2-40B4-BE49-F238E27FC236}">
              <a16:creationId xmlns:a16="http://schemas.microsoft.com/office/drawing/2014/main" id="{DE98B4F9-8C61-4321-B08A-E30A914BFEB5}"/>
            </a:ext>
          </a:extLst>
        </xdr:cNvPr>
        <xdr:cNvSpPr txBox="1">
          <a:spLocks noChangeArrowheads="1"/>
        </xdr:cNvSpPr>
      </xdr:nvSpPr>
      <xdr:spPr bwMode="auto">
        <a:xfrm>
          <a:off x="9555480" y="11910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40" name="Text Box 249">
          <a:extLst>
            <a:ext uri="{FF2B5EF4-FFF2-40B4-BE49-F238E27FC236}">
              <a16:creationId xmlns:a16="http://schemas.microsoft.com/office/drawing/2014/main" id="{76B70699-4D54-4C36-9085-08F82652ED85}"/>
            </a:ext>
          </a:extLst>
        </xdr:cNvPr>
        <xdr:cNvSpPr txBox="1">
          <a:spLocks noChangeArrowheads="1"/>
        </xdr:cNvSpPr>
      </xdr:nvSpPr>
      <xdr:spPr bwMode="auto">
        <a:xfrm>
          <a:off x="9555480" y="11910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41" name="Text Box 249">
          <a:extLst>
            <a:ext uri="{FF2B5EF4-FFF2-40B4-BE49-F238E27FC236}">
              <a16:creationId xmlns:a16="http://schemas.microsoft.com/office/drawing/2014/main" id="{77AFC1AA-3837-4A0F-80A4-B4A6EA3EA843}"/>
            </a:ext>
          </a:extLst>
        </xdr:cNvPr>
        <xdr:cNvSpPr txBox="1">
          <a:spLocks noChangeArrowheads="1"/>
        </xdr:cNvSpPr>
      </xdr:nvSpPr>
      <xdr:spPr bwMode="auto">
        <a:xfrm>
          <a:off x="9555480" y="11910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42" name="Text Box 249">
          <a:extLst>
            <a:ext uri="{FF2B5EF4-FFF2-40B4-BE49-F238E27FC236}">
              <a16:creationId xmlns:a16="http://schemas.microsoft.com/office/drawing/2014/main" id="{97377ABF-25C1-461E-94D8-0C026ACFFC74}"/>
            </a:ext>
          </a:extLst>
        </xdr:cNvPr>
        <xdr:cNvSpPr txBox="1">
          <a:spLocks noChangeArrowheads="1"/>
        </xdr:cNvSpPr>
      </xdr:nvSpPr>
      <xdr:spPr bwMode="auto">
        <a:xfrm>
          <a:off x="9555480" y="11910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43" name="Text Box 249">
          <a:extLst>
            <a:ext uri="{FF2B5EF4-FFF2-40B4-BE49-F238E27FC236}">
              <a16:creationId xmlns:a16="http://schemas.microsoft.com/office/drawing/2014/main" id="{9DDB5FA6-FD18-478F-BE59-70A307D539C8}"/>
            </a:ext>
          </a:extLst>
        </xdr:cNvPr>
        <xdr:cNvSpPr txBox="1">
          <a:spLocks noChangeArrowheads="1"/>
        </xdr:cNvSpPr>
      </xdr:nvSpPr>
      <xdr:spPr bwMode="auto">
        <a:xfrm>
          <a:off x="9555480" y="11910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</xdr:row>
      <xdr:rowOff>0</xdr:rowOff>
    </xdr:from>
    <xdr:ext cx="104775" cy="208801"/>
    <xdr:sp macro="" textlink="">
      <xdr:nvSpPr>
        <xdr:cNvPr id="44" name="Text Box 249">
          <a:extLst>
            <a:ext uri="{FF2B5EF4-FFF2-40B4-BE49-F238E27FC236}">
              <a16:creationId xmlns:a16="http://schemas.microsoft.com/office/drawing/2014/main" id="{4BF907E1-440E-4B5C-A928-DA49C1718C1B}"/>
            </a:ext>
          </a:extLst>
        </xdr:cNvPr>
        <xdr:cNvSpPr txBox="1">
          <a:spLocks noChangeArrowheads="1"/>
        </xdr:cNvSpPr>
      </xdr:nvSpPr>
      <xdr:spPr bwMode="auto">
        <a:xfrm>
          <a:off x="9555480" y="11910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</xdr:row>
      <xdr:rowOff>0</xdr:rowOff>
    </xdr:from>
    <xdr:ext cx="104775" cy="210011"/>
    <xdr:sp macro="" textlink="">
      <xdr:nvSpPr>
        <xdr:cNvPr id="45" name="Text Box 249">
          <a:extLst>
            <a:ext uri="{FF2B5EF4-FFF2-40B4-BE49-F238E27FC236}">
              <a16:creationId xmlns:a16="http://schemas.microsoft.com/office/drawing/2014/main" id="{CCF6A7EA-A15B-453C-BD42-89C542B6D432}"/>
            </a:ext>
          </a:extLst>
        </xdr:cNvPr>
        <xdr:cNvSpPr txBox="1">
          <a:spLocks noChangeArrowheads="1"/>
        </xdr:cNvSpPr>
      </xdr:nvSpPr>
      <xdr:spPr bwMode="auto">
        <a:xfrm>
          <a:off x="9558020" y="119100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</xdr:row>
      <xdr:rowOff>0</xdr:rowOff>
    </xdr:from>
    <xdr:ext cx="117326" cy="218324"/>
    <xdr:sp macro="" textlink="">
      <xdr:nvSpPr>
        <xdr:cNvPr id="46" name="Text Box 249">
          <a:extLst>
            <a:ext uri="{FF2B5EF4-FFF2-40B4-BE49-F238E27FC236}">
              <a16:creationId xmlns:a16="http://schemas.microsoft.com/office/drawing/2014/main" id="{83B85DAB-9B30-4C7B-A41C-3AF281CEBEF5}"/>
            </a:ext>
          </a:extLst>
        </xdr:cNvPr>
        <xdr:cNvSpPr txBox="1">
          <a:spLocks noChangeArrowheads="1"/>
        </xdr:cNvSpPr>
      </xdr:nvSpPr>
      <xdr:spPr bwMode="auto">
        <a:xfrm>
          <a:off x="9558020" y="122453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47" name="Text Box 249">
          <a:extLst>
            <a:ext uri="{FF2B5EF4-FFF2-40B4-BE49-F238E27FC236}">
              <a16:creationId xmlns:a16="http://schemas.microsoft.com/office/drawing/2014/main" id="{BD3D5C62-9C9A-49F5-9058-39BE8D91BB0F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48" name="Text Box 249">
          <a:extLst>
            <a:ext uri="{FF2B5EF4-FFF2-40B4-BE49-F238E27FC236}">
              <a16:creationId xmlns:a16="http://schemas.microsoft.com/office/drawing/2014/main" id="{BC8975D7-609F-4A89-A88F-2B639071F4E4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49" name="Text Box 249">
          <a:extLst>
            <a:ext uri="{FF2B5EF4-FFF2-40B4-BE49-F238E27FC236}">
              <a16:creationId xmlns:a16="http://schemas.microsoft.com/office/drawing/2014/main" id="{473FE325-D4BF-4F16-A40A-72E500972054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50" name="Text Box 249">
          <a:extLst>
            <a:ext uri="{FF2B5EF4-FFF2-40B4-BE49-F238E27FC236}">
              <a16:creationId xmlns:a16="http://schemas.microsoft.com/office/drawing/2014/main" id="{E1C2B267-5E8F-4500-A162-92EC68344D89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51" name="Text Box 249">
          <a:extLst>
            <a:ext uri="{FF2B5EF4-FFF2-40B4-BE49-F238E27FC236}">
              <a16:creationId xmlns:a16="http://schemas.microsoft.com/office/drawing/2014/main" id="{994BF08F-8EB6-44ED-B4C5-0792BF1FFB59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52" name="Text Box 249">
          <a:extLst>
            <a:ext uri="{FF2B5EF4-FFF2-40B4-BE49-F238E27FC236}">
              <a16:creationId xmlns:a16="http://schemas.microsoft.com/office/drawing/2014/main" id="{4FD0FBC6-3394-427C-8F83-99CDF4D98F55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</xdr:row>
      <xdr:rowOff>0</xdr:rowOff>
    </xdr:from>
    <xdr:ext cx="104775" cy="210011"/>
    <xdr:sp macro="" textlink="">
      <xdr:nvSpPr>
        <xdr:cNvPr id="53" name="Text Box 249">
          <a:extLst>
            <a:ext uri="{FF2B5EF4-FFF2-40B4-BE49-F238E27FC236}">
              <a16:creationId xmlns:a16="http://schemas.microsoft.com/office/drawing/2014/main" id="{EF92B279-9A70-4D23-B628-BBA4B5636B0A}"/>
            </a:ext>
          </a:extLst>
        </xdr:cNvPr>
        <xdr:cNvSpPr txBox="1">
          <a:spLocks noChangeArrowheads="1"/>
        </xdr:cNvSpPr>
      </xdr:nvSpPr>
      <xdr:spPr bwMode="auto">
        <a:xfrm>
          <a:off x="9558020" y="122453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68</xdr:row>
      <xdr:rowOff>0</xdr:rowOff>
    </xdr:from>
    <xdr:ext cx="117326" cy="218324"/>
    <xdr:sp macro="" textlink="">
      <xdr:nvSpPr>
        <xdr:cNvPr id="54" name="Text Box 249">
          <a:extLst>
            <a:ext uri="{FF2B5EF4-FFF2-40B4-BE49-F238E27FC236}">
              <a16:creationId xmlns:a16="http://schemas.microsoft.com/office/drawing/2014/main" id="{E65B2F28-21F2-4DA6-96D5-78C2EB9ABEE3}"/>
            </a:ext>
          </a:extLst>
        </xdr:cNvPr>
        <xdr:cNvSpPr txBox="1">
          <a:spLocks noChangeArrowheads="1"/>
        </xdr:cNvSpPr>
      </xdr:nvSpPr>
      <xdr:spPr bwMode="auto">
        <a:xfrm>
          <a:off x="9558020" y="124129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55" name="Text Box 249">
          <a:extLst>
            <a:ext uri="{FF2B5EF4-FFF2-40B4-BE49-F238E27FC236}">
              <a16:creationId xmlns:a16="http://schemas.microsoft.com/office/drawing/2014/main" id="{BF8981F4-EE61-4E3A-BEDB-144BE09E972F}"/>
            </a:ext>
          </a:extLst>
        </xdr:cNvPr>
        <xdr:cNvSpPr txBox="1">
          <a:spLocks noChangeArrowheads="1"/>
        </xdr:cNvSpPr>
      </xdr:nvSpPr>
      <xdr:spPr bwMode="auto">
        <a:xfrm>
          <a:off x="9555480" y="12412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56" name="Text Box 249">
          <a:extLst>
            <a:ext uri="{FF2B5EF4-FFF2-40B4-BE49-F238E27FC236}">
              <a16:creationId xmlns:a16="http://schemas.microsoft.com/office/drawing/2014/main" id="{186D45E9-5C10-40EB-B5F1-4A0771091613}"/>
            </a:ext>
          </a:extLst>
        </xdr:cNvPr>
        <xdr:cNvSpPr txBox="1">
          <a:spLocks noChangeArrowheads="1"/>
        </xdr:cNvSpPr>
      </xdr:nvSpPr>
      <xdr:spPr bwMode="auto">
        <a:xfrm>
          <a:off x="9555480" y="12412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57" name="Text Box 249">
          <a:extLst>
            <a:ext uri="{FF2B5EF4-FFF2-40B4-BE49-F238E27FC236}">
              <a16:creationId xmlns:a16="http://schemas.microsoft.com/office/drawing/2014/main" id="{2A4085D7-0904-44D4-9C42-8CA7D71C0C4B}"/>
            </a:ext>
          </a:extLst>
        </xdr:cNvPr>
        <xdr:cNvSpPr txBox="1">
          <a:spLocks noChangeArrowheads="1"/>
        </xdr:cNvSpPr>
      </xdr:nvSpPr>
      <xdr:spPr bwMode="auto">
        <a:xfrm>
          <a:off x="9555480" y="12412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58" name="Text Box 249">
          <a:extLst>
            <a:ext uri="{FF2B5EF4-FFF2-40B4-BE49-F238E27FC236}">
              <a16:creationId xmlns:a16="http://schemas.microsoft.com/office/drawing/2014/main" id="{67D436E6-C5A0-4585-886D-E0733CDE3E22}"/>
            </a:ext>
          </a:extLst>
        </xdr:cNvPr>
        <xdr:cNvSpPr txBox="1">
          <a:spLocks noChangeArrowheads="1"/>
        </xdr:cNvSpPr>
      </xdr:nvSpPr>
      <xdr:spPr bwMode="auto">
        <a:xfrm>
          <a:off x="9555480" y="12412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59" name="Text Box 249">
          <a:extLst>
            <a:ext uri="{FF2B5EF4-FFF2-40B4-BE49-F238E27FC236}">
              <a16:creationId xmlns:a16="http://schemas.microsoft.com/office/drawing/2014/main" id="{FAF89CEF-51E0-4BDB-9CB6-C0D2A4C3138A}"/>
            </a:ext>
          </a:extLst>
        </xdr:cNvPr>
        <xdr:cNvSpPr txBox="1">
          <a:spLocks noChangeArrowheads="1"/>
        </xdr:cNvSpPr>
      </xdr:nvSpPr>
      <xdr:spPr bwMode="auto">
        <a:xfrm>
          <a:off x="9555480" y="12412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68</xdr:row>
      <xdr:rowOff>0</xdr:rowOff>
    </xdr:from>
    <xdr:ext cx="104775" cy="208801"/>
    <xdr:sp macro="" textlink="">
      <xdr:nvSpPr>
        <xdr:cNvPr id="60" name="Text Box 249">
          <a:extLst>
            <a:ext uri="{FF2B5EF4-FFF2-40B4-BE49-F238E27FC236}">
              <a16:creationId xmlns:a16="http://schemas.microsoft.com/office/drawing/2014/main" id="{8A25D082-8525-49AA-976E-CA6EC3D2578D}"/>
            </a:ext>
          </a:extLst>
        </xdr:cNvPr>
        <xdr:cNvSpPr txBox="1">
          <a:spLocks noChangeArrowheads="1"/>
        </xdr:cNvSpPr>
      </xdr:nvSpPr>
      <xdr:spPr bwMode="auto">
        <a:xfrm>
          <a:off x="9555480" y="12412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68</xdr:row>
      <xdr:rowOff>0</xdr:rowOff>
    </xdr:from>
    <xdr:ext cx="104775" cy="210011"/>
    <xdr:sp macro="" textlink="">
      <xdr:nvSpPr>
        <xdr:cNvPr id="61" name="Text Box 249">
          <a:extLst>
            <a:ext uri="{FF2B5EF4-FFF2-40B4-BE49-F238E27FC236}">
              <a16:creationId xmlns:a16="http://schemas.microsoft.com/office/drawing/2014/main" id="{C992695B-5D3A-4B6B-BADE-396BE658E811}"/>
            </a:ext>
          </a:extLst>
        </xdr:cNvPr>
        <xdr:cNvSpPr txBox="1">
          <a:spLocks noChangeArrowheads="1"/>
        </xdr:cNvSpPr>
      </xdr:nvSpPr>
      <xdr:spPr bwMode="auto">
        <a:xfrm>
          <a:off x="9558020" y="124129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</xdr:row>
      <xdr:rowOff>0</xdr:rowOff>
    </xdr:from>
    <xdr:ext cx="117326" cy="218324"/>
    <xdr:sp macro="" textlink="">
      <xdr:nvSpPr>
        <xdr:cNvPr id="62" name="Text Box 249">
          <a:extLst>
            <a:ext uri="{FF2B5EF4-FFF2-40B4-BE49-F238E27FC236}">
              <a16:creationId xmlns:a16="http://schemas.microsoft.com/office/drawing/2014/main" id="{CC94D3FE-04E1-48B1-8E4B-1CF491C43012}"/>
            </a:ext>
          </a:extLst>
        </xdr:cNvPr>
        <xdr:cNvSpPr txBox="1">
          <a:spLocks noChangeArrowheads="1"/>
        </xdr:cNvSpPr>
      </xdr:nvSpPr>
      <xdr:spPr bwMode="auto">
        <a:xfrm>
          <a:off x="9558020" y="122453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63" name="Text Box 249">
          <a:extLst>
            <a:ext uri="{FF2B5EF4-FFF2-40B4-BE49-F238E27FC236}">
              <a16:creationId xmlns:a16="http://schemas.microsoft.com/office/drawing/2014/main" id="{9E9092EE-C55F-4FD5-8232-CC53DE6F1E94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64" name="Text Box 249">
          <a:extLst>
            <a:ext uri="{FF2B5EF4-FFF2-40B4-BE49-F238E27FC236}">
              <a16:creationId xmlns:a16="http://schemas.microsoft.com/office/drawing/2014/main" id="{52AC0A96-0C6C-489B-A5B3-070A81005D65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65" name="Text Box 249">
          <a:extLst>
            <a:ext uri="{FF2B5EF4-FFF2-40B4-BE49-F238E27FC236}">
              <a16:creationId xmlns:a16="http://schemas.microsoft.com/office/drawing/2014/main" id="{922084AB-8687-4DB6-BDDE-571E5C4AF252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66" name="Text Box 249">
          <a:extLst>
            <a:ext uri="{FF2B5EF4-FFF2-40B4-BE49-F238E27FC236}">
              <a16:creationId xmlns:a16="http://schemas.microsoft.com/office/drawing/2014/main" id="{8963F982-E697-4D72-B797-84308424C6D6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67" name="Text Box 249">
          <a:extLst>
            <a:ext uri="{FF2B5EF4-FFF2-40B4-BE49-F238E27FC236}">
              <a16:creationId xmlns:a16="http://schemas.microsoft.com/office/drawing/2014/main" id="{4806C11F-6AE9-47B7-8494-DE48EA440EA3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</xdr:row>
      <xdr:rowOff>0</xdr:rowOff>
    </xdr:from>
    <xdr:ext cx="104775" cy="208801"/>
    <xdr:sp macro="" textlink="">
      <xdr:nvSpPr>
        <xdr:cNvPr id="68" name="Text Box 249">
          <a:extLst>
            <a:ext uri="{FF2B5EF4-FFF2-40B4-BE49-F238E27FC236}">
              <a16:creationId xmlns:a16="http://schemas.microsoft.com/office/drawing/2014/main" id="{5FAB776A-1192-4E09-9A49-9DD42ACE5810}"/>
            </a:ext>
          </a:extLst>
        </xdr:cNvPr>
        <xdr:cNvSpPr txBox="1">
          <a:spLocks noChangeArrowheads="1"/>
        </xdr:cNvSpPr>
      </xdr:nvSpPr>
      <xdr:spPr bwMode="auto">
        <a:xfrm>
          <a:off x="9555480" y="12245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</xdr:row>
      <xdr:rowOff>0</xdr:rowOff>
    </xdr:from>
    <xdr:ext cx="104775" cy="210011"/>
    <xdr:sp macro="" textlink="">
      <xdr:nvSpPr>
        <xdr:cNvPr id="69" name="Text Box 249">
          <a:extLst>
            <a:ext uri="{FF2B5EF4-FFF2-40B4-BE49-F238E27FC236}">
              <a16:creationId xmlns:a16="http://schemas.microsoft.com/office/drawing/2014/main" id="{4E1DB56D-53AD-409D-95E7-06673A218A05}"/>
            </a:ext>
          </a:extLst>
        </xdr:cNvPr>
        <xdr:cNvSpPr txBox="1">
          <a:spLocks noChangeArrowheads="1"/>
        </xdr:cNvSpPr>
      </xdr:nvSpPr>
      <xdr:spPr bwMode="auto">
        <a:xfrm>
          <a:off x="9558020" y="122453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625</xdr:row>
      <xdr:rowOff>0</xdr:rowOff>
    </xdr:from>
    <xdr:ext cx="117326" cy="218324"/>
    <xdr:sp macro="" textlink="">
      <xdr:nvSpPr>
        <xdr:cNvPr id="70" name="Text Box 249">
          <a:extLst>
            <a:ext uri="{FF2B5EF4-FFF2-40B4-BE49-F238E27FC236}">
              <a16:creationId xmlns:a16="http://schemas.microsoft.com/office/drawing/2014/main" id="{8199369C-058F-4847-BEE1-F12AB307983C}"/>
            </a:ext>
          </a:extLst>
        </xdr:cNvPr>
        <xdr:cNvSpPr txBox="1">
          <a:spLocks noChangeArrowheads="1"/>
        </xdr:cNvSpPr>
      </xdr:nvSpPr>
      <xdr:spPr bwMode="auto">
        <a:xfrm>
          <a:off x="9558020" y="1064285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71" name="Text Box 249">
          <a:extLst>
            <a:ext uri="{FF2B5EF4-FFF2-40B4-BE49-F238E27FC236}">
              <a16:creationId xmlns:a16="http://schemas.microsoft.com/office/drawing/2014/main" id="{08496E60-8B61-4A18-80D6-3DF6EFAA9831}"/>
            </a:ext>
          </a:extLst>
        </xdr:cNvPr>
        <xdr:cNvSpPr txBox="1">
          <a:spLocks noChangeArrowheads="1"/>
        </xdr:cNvSpPr>
      </xdr:nvSpPr>
      <xdr:spPr bwMode="auto">
        <a:xfrm>
          <a:off x="9555480" y="1064285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72" name="Text Box 249">
          <a:extLst>
            <a:ext uri="{FF2B5EF4-FFF2-40B4-BE49-F238E27FC236}">
              <a16:creationId xmlns:a16="http://schemas.microsoft.com/office/drawing/2014/main" id="{A4824DFB-6E7F-44DD-A0D1-286FEEC55B78}"/>
            </a:ext>
          </a:extLst>
        </xdr:cNvPr>
        <xdr:cNvSpPr txBox="1">
          <a:spLocks noChangeArrowheads="1"/>
        </xdr:cNvSpPr>
      </xdr:nvSpPr>
      <xdr:spPr bwMode="auto">
        <a:xfrm>
          <a:off x="9555480" y="1064285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73" name="Text Box 249">
          <a:extLst>
            <a:ext uri="{FF2B5EF4-FFF2-40B4-BE49-F238E27FC236}">
              <a16:creationId xmlns:a16="http://schemas.microsoft.com/office/drawing/2014/main" id="{46830FC7-476D-4110-A5C0-ADA858694ABA}"/>
            </a:ext>
          </a:extLst>
        </xdr:cNvPr>
        <xdr:cNvSpPr txBox="1">
          <a:spLocks noChangeArrowheads="1"/>
        </xdr:cNvSpPr>
      </xdr:nvSpPr>
      <xdr:spPr bwMode="auto">
        <a:xfrm>
          <a:off x="9555480" y="1064285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74" name="Text Box 249">
          <a:extLst>
            <a:ext uri="{FF2B5EF4-FFF2-40B4-BE49-F238E27FC236}">
              <a16:creationId xmlns:a16="http://schemas.microsoft.com/office/drawing/2014/main" id="{0C6761E6-24DA-4EBB-AB0E-DE56F3E8E4FD}"/>
            </a:ext>
          </a:extLst>
        </xdr:cNvPr>
        <xdr:cNvSpPr txBox="1">
          <a:spLocks noChangeArrowheads="1"/>
        </xdr:cNvSpPr>
      </xdr:nvSpPr>
      <xdr:spPr bwMode="auto">
        <a:xfrm>
          <a:off x="9555480" y="1064285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75" name="Text Box 249">
          <a:extLst>
            <a:ext uri="{FF2B5EF4-FFF2-40B4-BE49-F238E27FC236}">
              <a16:creationId xmlns:a16="http://schemas.microsoft.com/office/drawing/2014/main" id="{D82C56AF-530B-4A70-A2D8-4F84E8613A11}"/>
            </a:ext>
          </a:extLst>
        </xdr:cNvPr>
        <xdr:cNvSpPr txBox="1">
          <a:spLocks noChangeArrowheads="1"/>
        </xdr:cNvSpPr>
      </xdr:nvSpPr>
      <xdr:spPr bwMode="auto">
        <a:xfrm>
          <a:off x="9555480" y="1064285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625</xdr:row>
      <xdr:rowOff>0</xdr:rowOff>
    </xdr:from>
    <xdr:ext cx="104775" cy="208801"/>
    <xdr:sp macro="" textlink="">
      <xdr:nvSpPr>
        <xdr:cNvPr id="76" name="Text Box 249">
          <a:extLst>
            <a:ext uri="{FF2B5EF4-FFF2-40B4-BE49-F238E27FC236}">
              <a16:creationId xmlns:a16="http://schemas.microsoft.com/office/drawing/2014/main" id="{C9706106-6E91-4793-846F-9ACAA80F71E9}"/>
            </a:ext>
          </a:extLst>
        </xdr:cNvPr>
        <xdr:cNvSpPr txBox="1">
          <a:spLocks noChangeArrowheads="1"/>
        </xdr:cNvSpPr>
      </xdr:nvSpPr>
      <xdr:spPr bwMode="auto">
        <a:xfrm>
          <a:off x="9555480" y="1064285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625</xdr:row>
      <xdr:rowOff>0</xdr:rowOff>
    </xdr:from>
    <xdr:ext cx="104775" cy="210011"/>
    <xdr:sp macro="" textlink="">
      <xdr:nvSpPr>
        <xdr:cNvPr id="77" name="Text Box 249">
          <a:extLst>
            <a:ext uri="{FF2B5EF4-FFF2-40B4-BE49-F238E27FC236}">
              <a16:creationId xmlns:a16="http://schemas.microsoft.com/office/drawing/2014/main" id="{6FFD9C15-7184-4D96-882F-BE66CFCD6FBB}"/>
            </a:ext>
          </a:extLst>
        </xdr:cNvPr>
        <xdr:cNvSpPr txBox="1">
          <a:spLocks noChangeArrowheads="1"/>
        </xdr:cNvSpPr>
      </xdr:nvSpPr>
      <xdr:spPr bwMode="auto">
        <a:xfrm>
          <a:off x="9558020" y="1064285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627</xdr:row>
      <xdr:rowOff>0</xdr:rowOff>
    </xdr:from>
    <xdr:ext cx="117326" cy="218324"/>
    <xdr:sp macro="" textlink="">
      <xdr:nvSpPr>
        <xdr:cNvPr id="78" name="Text Box 249">
          <a:extLst>
            <a:ext uri="{FF2B5EF4-FFF2-40B4-BE49-F238E27FC236}">
              <a16:creationId xmlns:a16="http://schemas.microsoft.com/office/drawing/2014/main" id="{D8598CAA-691C-4A06-A31A-81E01CB23925}"/>
            </a:ext>
          </a:extLst>
        </xdr:cNvPr>
        <xdr:cNvSpPr txBox="1">
          <a:spLocks noChangeArrowheads="1"/>
        </xdr:cNvSpPr>
      </xdr:nvSpPr>
      <xdr:spPr bwMode="auto">
        <a:xfrm>
          <a:off x="9558020" y="1067638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79" name="Text Box 249">
          <a:extLst>
            <a:ext uri="{FF2B5EF4-FFF2-40B4-BE49-F238E27FC236}">
              <a16:creationId xmlns:a16="http://schemas.microsoft.com/office/drawing/2014/main" id="{9F816312-C189-45F4-82F6-71BFD7143F90}"/>
            </a:ext>
          </a:extLst>
        </xdr:cNvPr>
        <xdr:cNvSpPr txBox="1">
          <a:spLocks noChangeArrowheads="1"/>
        </xdr:cNvSpPr>
      </xdr:nvSpPr>
      <xdr:spPr bwMode="auto">
        <a:xfrm>
          <a:off x="9555480" y="106763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80" name="Text Box 249">
          <a:extLst>
            <a:ext uri="{FF2B5EF4-FFF2-40B4-BE49-F238E27FC236}">
              <a16:creationId xmlns:a16="http://schemas.microsoft.com/office/drawing/2014/main" id="{2975D6FC-B787-4151-BEAE-7175D588C66F}"/>
            </a:ext>
          </a:extLst>
        </xdr:cNvPr>
        <xdr:cNvSpPr txBox="1">
          <a:spLocks noChangeArrowheads="1"/>
        </xdr:cNvSpPr>
      </xdr:nvSpPr>
      <xdr:spPr bwMode="auto">
        <a:xfrm>
          <a:off x="9555480" y="106763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81" name="Text Box 249">
          <a:extLst>
            <a:ext uri="{FF2B5EF4-FFF2-40B4-BE49-F238E27FC236}">
              <a16:creationId xmlns:a16="http://schemas.microsoft.com/office/drawing/2014/main" id="{7AD9FBC9-2356-431D-BA5B-8FC96CDF6387}"/>
            </a:ext>
          </a:extLst>
        </xdr:cNvPr>
        <xdr:cNvSpPr txBox="1">
          <a:spLocks noChangeArrowheads="1"/>
        </xdr:cNvSpPr>
      </xdr:nvSpPr>
      <xdr:spPr bwMode="auto">
        <a:xfrm>
          <a:off x="9555480" y="106763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82" name="Text Box 249">
          <a:extLst>
            <a:ext uri="{FF2B5EF4-FFF2-40B4-BE49-F238E27FC236}">
              <a16:creationId xmlns:a16="http://schemas.microsoft.com/office/drawing/2014/main" id="{40A3EA82-24EF-44CF-B7E2-9D449E78BD24}"/>
            </a:ext>
          </a:extLst>
        </xdr:cNvPr>
        <xdr:cNvSpPr txBox="1">
          <a:spLocks noChangeArrowheads="1"/>
        </xdr:cNvSpPr>
      </xdr:nvSpPr>
      <xdr:spPr bwMode="auto">
        <a:xfrm>
          <a:off x="9555480" y="106763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83" name="Text Box 249">
          <a:extLst>
            <a:ext uri="{FF2B5EF4-FFF2-40B4-BE49-F238E27FC236}">
              <a16:creationId xmlns:a16="http://schemas.microsoft.com/office/drawing/2014/main" id="{B19B7BCC-1D36-497A-8B03-DEE992F7ECAC}"/>
            </a:ext>
          </a:extLst>
        </xdr:cNvPr>
        <xdr:cNvSpPr txBox="1">
          <a:spLocks noChangeArrowheads="1"/>
        </xdr:cNvSpPr>
      </xdr:nvSpPr>
      <xdr:spPr bwMode="auto">
        <a:xfrm>
          <a:off x="9555480" y="106763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627</xdr:row>
      <xdr:rowOff>0</xdr:rowOff>
    </xdr:from>
    <xdr:ext cx="104775" cy="208801"/>
    <xdr:sp macro="" textlink="">
      <xdr:nvSpPr>
        <xdr:cNvPr id="84" name="Text Box 249">
          <a:extLst>
            <a:ext uri="{FF2B5EF4-FFF2-40B4-BE49-F238E27FC236}">
              <a16:creationId xmlns:a16="http://schemas.microsoft.com/office/drawing/2014/main" id="{64E6B6BF-2452-425E-891C-448339BCBDF6}"/>
            </a:ext>
          </a:extLst>
        </xdr:cNvPr>
        <xdr:cNvSpPr txBox="1">
          <a:spLocks noChangeArrowheads="1"/>
        </xdr:cNvSpPr>
      </xdr:nvSpPr>
      <xdr:spPr bwMode="auto">
        <a:xfrm>
          <a:off x="9555480" y="106763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627</xdr:row>
      <xdr:rowOff>0</xdr:rowOff>
    </xdr:from>
    <xdr:ext cx="104775" cy="210011"/>
    <xdr:sp macro="" textlink="">
      <xdr:nvSpPr>
        <xdr:cNvPr id="85" name="Text Box 249">
          <a:extLst>
            <a:ext uri="{FF2B5EF4-FFF2-40B4-BE49-F238E27FC236}">
              <a16:creationId xmlns:a16="http://schemas.microsoft.com/office/drawing/2014/main" id="{C814C73B-3D16-4967-B880-CE695081D41C}"/>
            </a:ext>
          </a:extLst>
        </xdr:cNvPr>
        <xdr:cNvSpPr txBox="1">
          <a:spLocks noChangeArrowheads="1"/>
        </xdr:cNvSpPr>
      </xdr:nvSpPr>
      <xdr:spPr bwMode="auto">
        <a:xfrm>
          <a:off x="9558020" y="1067638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630</xdr:row>
      <xdr:rowOff>0</xdr:rowOff>
    </xdr:from>
    <xdr:ext cx="117326" cy="218324"/>
    <xdr:sp macro="" textlink="">
      <xdr:nvSpPr>
        <xdr:cNvPr id="86" name="Text Box 249">
          <a:extLst>
            <a:ext uri="{FF2B5EF4-FFF2-40B4-BE49-F238E27FC236}">
              <a16:creationId xmlns:a16="http://schemas.microsoft.com/office/drawing/2014/main" id="{EB0232FC-99EE-4AB5-A21F-7E28ACA705E9}"/>
            </a:ext>
          </a:extLst>
        </xdr:cNvPr>
        <xdr:cNvSpPr txBox="1">
          <a:spLocks noChangeArrowheads="1"/>
        </xdr:cNvSpPr>
      </xdr:nvSpPr>
      <xdr:spPr bwMode="auto">
        <a:xfrm>
          <a:off x="9558020" y="1072667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87" name="Text Box 249">
          <a:extLst>
            <a:ext uri="{FF2B5EF4-FFF2-40B4-BE49-F238E27FC236}">
              <a16:creationId xmlns:a16="http://schemas.microsoft.com/office/drawing/2014/main" id="{385D59E2-38DC-4433-A520-ADDE3FCD5B3D}"/>
            </a:ext>
          </a:extLst>
        </xdr:cNvPr>
        <xdr:cNvSpPr txBox="1">
          <a:spLocks noChangeArrowheads="1"/>
        </xdr:cNvSpPr>
      </xdr:nvSpPr>
      <xdr:spPr bwMode="auto">
        <a:xfrm>
          <a:off x="9555480" y="107266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88" name="Text Box 249">
          <a:extLst>
            <a:ext uri="{FF2B5EF4-FFF2-40B4-BE49-F238E27FC236}">
              <a16:creationId xmlns:a16="http://schemas.microsoft.com/office/drawing/2014/main" id="{D8598C0C-8425-4E93-B2AA-6366C04CC473}"/>
            </a:ext>
          </a:extLst>
        </xdr:cNvPr>
        <xdr:cNvSpPr txBox="1">
          <a:spLocks noChangeArrowheads="1"/>
        </xdr:cNvSpPr>
      </xdr:nvSpPr>
      <xdr:spPr bwMode="auto">
        <a:xfrm>
          <a:off x="9555480" y="107266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89" name="Text Box 249">
          <a:extLst>
            <a:ext uri="{FF2B5EF4-FFF2-40B4-BE49-F238E27FC236}">
              <a16:creationId xmlns:a16="http://schemas.microsoft.com/office/drawing/2014/main" id="{92C865FF-3B3B-4FE5-8555-F4882487B9EA}"/>
            </a:ext>
          </a:extLst>
        </xdr:cNvPr>
        <xdr:cNvSpPr txBox="1">
          <a:spLocks noChangeArrowheads="1"/>
        </xdr:cNvSpPr>
      </xdr:nvSpPr>
      <xdr:spPr bwMode="auto">
        <a:xfrm>
          <a:off x="9555480" y="107266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90" name="Text Box 249">
          <a:extLst>
            <a:ext uri="{FF2B5EF4-FFF2-40B4-BE49-F238E27FC236}">
              <a16:creationId xmlns:a16="http://schemas.microsoft.com/office/drawing/2014/main" id="{52DF3CC0-6D53-4262-A291-80021BB442C0}"/>
            </a:ext>
          </a:extLst>
        </xdr:cNvPr>
        <xdr:cNvSpPr txBox="1">
          <a:spLocks noChangeArrowheads="1"/>
        </xdr:cNvSpPr>
      </xdr:nvSpPr>
      <xdr:spPr bwMode="auto">
        <a:xfrm>
          <a:off x="9555480" y="107266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91" name="Text Box 249">
          <a:extLst>
            <a:ext uri="{FF2B5EF4-FFF2-40B4-BE49-F238E27FC236}">
              <a16:creationId xmlns:a16="http://schemas.microsoft.com/office/drawing/2014/main" id="{7FD0CD28-EFF9-4563-98A9-D2F983DFD3A1}"/>
            </a:ext>
          </a:extLst>
        </xdr:cNvPr>
        <xdr:cNvSpPr txBox="1">
          <a:spLocks noChangeArrowheads="1"/>
        </xdr:cNvSpPr>
      </xdr:nvSpPr>
      <xdr:spPr bwMode="auto">
        <a:xfrm>
          <a:off x="9555480" y="107266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630</xdr:row>
      <xdr:rowOff>0</xdr:rowOff>
    </xdr:from>
    <xdr:ext cx="104775" cy="208801"/>
    <xdr:sp macro="" textlink="">
      <xdr:nvSpPr>
        <xdr:cNvPr id="92" name="Text Box 249">
          <a:extLst>
            <a:ext uri="{FF2B5EF4-FFF2-40B4-BE49-F238E27FC236}">
              <a16:creationId xmlns:a16="http://schemas.microsoft.com/office/drawing/2014/main" id="{CBC2AFBC-1008-424F-ADCD-EC43E32BDFB1}"/>
            </a:ext>
          </a:extLst>
        </xdr:cNvPr>
        <xdr:cNvSpPr txBox="1">
          <a:spLocks noChangeArrowheads="1"/>
        </xdr:cNvSpPr>
      </xdr:nvSpPr>
      <xdr:spPr bwMode="auto">
        <a:xfrm>
          <a:off x="9555480" y="107266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630</xdr:row>
      <xdr:rowOff>0</xdr:rowOff>
    </xdr:from>
    <xdr:ext cx="104775" cy="210011"/>
    <xdr:sp macro="" textlink="">
      <xdr:nvSpPr>
        <xdr:cNvPr id="93" name="Text Box 249">
          <a:extLst>
            <a:ext uri="{FF2B5EF4-FFF2-40B4-BE49-F238E27FC236}">
              <a16:creationId xmlns:a16="http://schemas.microsoft.com/office/drawing/2014/main" id="{B9B067AC-B7BE-415E-AF3B-29456873EF5D}"/>
            </a:ext>
          </a:extLst>
        </xdr:cNvPr>
        <xdr:cNvSpPr txBox="1">
          <a:spLocks noChangeArrowheads="1"/>
        </xdr:cNvSpPr>
      </xdr:nvSpPr>
      <xdr:spPr bwMode="auto">
        <a:xfrm>
          <a:off x="9558020" y="1072667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632</xdr:row>
      <xdr:rowOff>0</xdr:rowOff>
    </xdr:from>
    <xdr:ext cx="117326" cy="218324"/>
    <xdr:sp macro="" textlink="">
      <xdr:nvSpPr>
        <xdr:cNvPr id="94" name="Text Box 249">
          <a:extLst>
            <a:ext uri="{FF2B5EF4-FFF2-40B4-BE49-F238E27FC236}">
              <a16:creationId xmlns:a16="http://schemas.microsoft.com/office/drawing/2014/main" id="{282721EF-0B26-4DFD-8220-707E96BE2195}"/>
            </a:ext>
          </a:extLst>
        </xdr:cNvPr>
        <xdr:cNvSpPr txBox="1">
          <a:spLocks noChangeArrowheads="1"/>
        </xdr:cNvSpPr>
      </xdr:nvSpPr>
      <xdr:spPr bwMode="auto">
        <a:xfrm>
          <a:off x="9558020" y="107602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95" name="Text Box 249">
          <a:extLst>
            <a:ext uri="{FF2B5EF4-FFF2-40B4-BE49-F238E27FC236}">
              <a16:creationId xmlns:a16="http://schemas.microsoft.com/office/drawing/2014/main" id="{69CD9E05-271D-4DAE-94D2-7A68ADA5D815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96" name="Text Box 249">
          <a:extLst>
            <a:ext uri="{FF2B5EF4-FFF2-40B4-BE49-F238E27FC236}">
              <a16:creationId xmlns:a16="http://schemas.microsoft.com/office/drawing/2014/main" id="{AB73CD74-8AC0-46EB-A134-8560BA0EF338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97" name="Text Box 249">
          <a:extLst>
            <a:ext uri="{FF2B5EF4-FFF2-40B4-BE49-F238E27FC236}">
              <a16:creationId xmlns:a16="http://schemas.microsoft.com/office/drawing/2014/main" id="{E530BE2E-42B7-48A3-AFF5-3DBE743A17C5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98" name="Text Box 249">
          <a:extLst>
            <a:ext uri="{FF2B5EF4-FFF2-40B4-BE49-F238E27FC236}">
              <a16:creationId xmlns:a16="http://schemas.microsoft.com/office/drawing/2014/main" id="{38581DC0-C273-41C2-BB2D-7787AF52FBD0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99" name="Text Box 249">
          <a:extLst>
            <a:ext uri="{FF2B5EF4-FFF2-40B4-BE49-F238E27FC236}">
              <a16:creationId xmlns:a16="http://schemas.microsoft.com/office/drawing/2014/main" id="{C2666D90-8A5B-4E08-B4AD-2E20E9ECA1EF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00" name="Text Box 249">
          <a:extLst>
            <a:ext uri="{FF2B5EF4-FFF2-40B4-BE49-F238E27FC236}">
              <a16:creationId xmlns:a16="http://schemas.microsoft.com/office/drawing/2014/main" id="{4FFAC914-5C11-4162-8DFA-C8430EBB1EAF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632</xdr:row>
      <xdr:rowOff>0</xdr:rowOff>
    </xdr:from>
    <xdr:ext cx="104775" cy="210011"/>
    <xdr:sp macro="" textlink="">
      <xdr:nvSpPr>
        <xdr:cNvPr id="101" name="Text Box 249">
          <a:extLst>
            <a:ext uri="{FF2B5EF4-FFF2-40B4-BE49-F238E27FC236}">
              <a16:creationId xmlns:a16="http://schemas.microsoft.com/office/drawing/2014/main" id="{D138AFB2-B9EC-4CA6-92A0-DE18C741060D}"/>
            </a:ext>
          </a:extLst>
        </xdr:cNvPr>
        <xdr:cNvSpPr txBox="1">
          <a:spLocks noChangeArrowheads="1"/>
        </xdr:cNvSpPr>
      </xdr:nvSpPr>
      <xdr:spPr bwMode="auto">
        <a:xfrm>
          <a:off x="9558020" y="107602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633</xdr:row>
      <xdr:rowOff>0</xdr:rowOff>
    </xdr:from>
    <xdr:ext cx="117326" cy="218324"/>
    <xdr:sp macro="" textlink="">
      <xdr:nvSpPr>
        <xdr:cNvPr id="102" name="Text Box 249">
          <a:extLst>
            <a:ext uri="{FF2B5EF4-FFF2-40B4-BE49-F238E27FC236}">
              <a16:creationId xmlns:a16="http://schemas.microsoft.com/office/drawing/2014/main" id="{F4AE0533-A492-4A0C-926C-6406045536B8}"/>
            </a:ext>
          </a:extLst>
        </xdr:cNvPr>
        <xdr:cNvSpPr txBox="1">
          <a:spLocks noChangeArrowheads="1"/>
        </xdr:cNvSpPr>
      </xdr:nvSpPr>
      <xdr:spPr bwMode="auto">
        <a:xfrm>
          <a:off x="9558020" y="1077696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03" name="Text Box 249">
          <a:extLst>
            <a:ext uri="{FF2B5EF4-FFF2-40B4-BE49-F238E27FC236}">
              <a16:creationId xmlns:a16="http://schemas.microsoft.com/office/drawing/2014/main" id="{35968949-A0AD-4ED1-B545-FB8081322A90}"/>
            </a:ext>
          </a:extLst>
        </xdr:cNvPr>
        <xdr:cNvSpPr txBox="1">
          <a:spLocks noChangeArrowheads="1"/>
        </xdr:cNvSpPr>
      </xdr:nvSpPr>
      <xdr:spPr bwMode="auto">
        <a:xfrm>
          <a:off x="9555480" y="1077696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04" name="Text Box 249">
          <a:extLst>
            <a:ext uri="{FF2B5EF4-FFF2-40B4-BE49-F238E27FC236}">
              <a16:creationId xmlns:a16="http://schemas.microsoft.com/office/drawing/2014/main" id="{5C5D4626-089B-4F05-8842-1EDD3E4584D6}"/>
            </a:ext>
          </a:extLst>
        </xdr:cNvPr>
        <xdr:cNvSpPr txBox="1">
          <a:spLocks noChangeArrowheads="1"/>
        </xdr:cNvSpPr>
      </xdr:nvSpPr>
      <xdr:spPr bwMode="auto">
        <a:xfrm>
          <a:off x="9555480" y="1077696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05" name="Text Box 249">
          <a:extLst>
            <a:ext uri="{FF2B5EF4-FFF2-40B4-BE49-F238E27FC236}">
              <a16:creationId xmlns:a16="http://schemas.microsoft.com/office/drawing/2014/main" id="{AB75E8FD-FEE6-40F7-8918-2769D738B9E3}"/>
            </a:ext>
          </a:extLst>
        </xdr:cNvPr>
        <xdr:cNvSpPr txBox="1">
          <a:spLocks noChangeArrowheads="1"/>
        </xdr:cNvSpPr>
      </xdr:nvSpPr>
      <xdr:spPr bwMode="auto">
        <a:xfrm>
          <a:off x="9555480" y="1077696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06" name="Text Box 249">
          <a:extLst>
            <a:ext uri="{FF2B5EF4-FFF2-40B4-BE49-F238E27FC236}">
              <a16:creationId xmlns:a16="http://schemas.microsoft.com/office/drawing/2014/main" id="{B5F6EF64-EDF1-40F8-9BEE-92B61EEB066D}"/>
            </a:ext>
          </a:extLst>
        </xdr:cNvPr>
        <xdr:cNvSpPr txBox="1">
          <a:spLocks noChangeArrowheads="1"/>
        </xdr:cNvSpPr>
      </xdr:nvSpPr>
      <xdr:spPr bwMode="auto">
        <a:xfrm>
          <a:off x="9555480" y="1077696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07" name="Text Box 249">
          <a:extLst>
            <a:ext uri="{FF2B5EF4-FFF2-40B4-BE49-F238E27FC236}">
              <a16:creationId xmlns:a16="http://schemas.microsoft.com/office/drawing/2014/main" id="{3D5BB569-3778-4ED3-8B95-2D74EEEA3163}"/>
            </a:ext>
          </a:extLst>
        </xdr:cNvPr>
        <xdr:cNvSpPr txBox="1">
          <a:spLocks noChangeArrowheads="1"/>
        </xdr:cNvSpPr>
      </xdr:nvSpPr>
      <xdr:spPr bwMode="auto">
        <a:xfrm>
          <a:off x="9555480" y="1077696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633</xdr:row>
      <xdr:rowOff>0</xdr:rowOff>
    </xdr:from>
    <xdr:ext cx="104775" cy="208801"/>
    <xdr:sp macro="" textlink="">
      <xdr:nvSpPr>
        <xdr:cNvPr id="108" name="Text Box 249">
          <a:extLst>
            <a:ext uri="{FF2B5EF4-FFF2-40B4-BE49-F238E27FC236}">
              <a16:creationId xmlns:a16="http://schemas.microsoft.com/office/drawing/2014/main" id="{D51B1239-E366-4C51-A760-D52B96248426}"/>
            </a:ext>
          </a:extLst>
        </xdr:cNvPr>
        <xdr:cNvSpPr txBox="1">
          <a:spLocks noChangeArrowheads="1"/>
        </xdr:cNvSpPr>
      </xdr:nvSpPr>
      <xdr:spPr bwMode="auto">
        <a:xfrm>
          <a:off x="9555480" y="1077696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633</xdr:row>
      <xdr:rowOff>0</xdr:rowOff>
    </xdr:from>
    <xdr:ext cx="104775" cy="210011"/>
    <xdr:sp macro="" textlink="">
      <xdr:nvSpPr>
        <xdr:cNvPr id="109" name="Text Box 249">
          <a:extLst>
            <a:ext uri="{FF2B5EF4-FFF2-40B4-BE49-F238E27FC236}">
              <a16:creationId xmlns:a16="http://schemas.microsoft.com/office/drawing/2014/main" id="{AB881E14-9A1D-4EED-94A9-BFA6824BFDEE}"/>
            </a:ext>
          </a:extLst>
        </xdr:cNvPr>
        <xdr:cNvSpPr txBox="1">
          <a:spLocks noChangeArrowheads="1"/>
        </xdr:cNvSpPr>
      </xdr:nvSpPr>
      <xdr:spPr bwMode="auto">
        <a:xfrm>
          <a:off x="9558020" y="1077696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632</xdr:row>
      <xdr:rowOff>0</xdr:rowOff>
    </xdr:from>
    <xdr:ext cx="117326" cy="218324"/>
    <xdr:sp macro="" textlink="">
      <xdr:nvSpPr>
        <xdr:cNvPr id="110" name="Text Box 249">
          <a:extLst>
            <a:ext uri="{FF2B5EF4-FFF2-40B4-BE49-F238E27FC236}">
              <a16:creationId xmlns:a16="http://schemas.microsoft.com/office/drawing/2014/main" id="{D880EAB2-A294-4BBA-9AA1-CC55571868BF}"/>
            </a:ext>
          </a:extLst>
        </xdr:cNvPr>
        <xdr:cNvSpPr txBox="1">
          <a:spLocks noChangeArrowheads="1"/>
        </xdr:cNvSpPr>
      </xdr:nvSpPr>
      <xdr:spPr bwMode="auto">
        <a:xfrm>
          <a:off x="9558020" y="107602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11" name="Text Box 249">
          <a:extLst>
            <a:ext uri="{FF2B5EF4-FFF2-40B4-BE49-F238E27FC236}">
              <a16:creationId xmlns:a16="http://schemas.microsoft.com/office/drawing/2014/main" id="{46A3563D-9B38-4F32-B9B8-71E90B83C1A4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12" name="Text Box 249">
          <a:extLst>
            <a:ext uri="{FF2B5EF4-FFF2-40B4-BE49-F238E27FC236}">
              <a16:creationId xmlns:a16="http://schemas.microsoft.com/office/drawing/2014/main" id="{19DCCF56-BCB6-4367-9714-AD63BF6E5225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13" name="Text Box 249">
          <a:extLst>
            <a:ext uri="{FF2B5EF4-FFF2-40B4-BE49-F238E27FC236}">
              <a16:creationId xmlns:a16="http://schemas.microsoft.com/office/drawing/2014/main" id="{5D60A449-5D03-4624-B54B-389FACB42107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14" name="Text Box 249">
          <a:extLst>
            <a:ext uri="{FF2B5EF4-FFF2-40B4-BE49-F238E27FC236}">
              <a16:creationId xmlns:a16="http://schemas.microsoft.com/office/drawing/2014/main" id="{D669B962-98ED-4BAE-9B0E-519978D843CA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15" name="Text Box 249">
          <a:extLst>
            <a:ext uri="{FF2B5EF4-FFF2-40B4-BE49-F238E27FC236}">
              <a16:creationId xmlns:a16="http://schemas.microsoft.com/office/drawing/2014/main" id="{515B8F9D-B029-44FB-AB6F-8EE03101C014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632</xdr:row>
      <xdr:rowOff>0</xdr:rowOff>
    </xdr:from>
    <xdr:ext cx="104775" cy="208801"/>
    <xdr:sp macro="" textlink="">
      <xdr:nvSpPr>
        <xdr:cNvPr id="116" name="Text Box 249">
          <a:extLst>
            <a:ext uri="{FF2B5EF4-FFF2-40B4-BE49-F238E27FC236}">
              <a16:creationId xmlns:a16="http://schemas.microsoft.com/office/drawing/2014/main" id="{7BE06F9B-9CBD-45FB-B341-8E7F1493D4EA}"/>
            </a:ext>
          </a:extLst>
        </xdr:cNvPr>
        <xdr:cNvSpPr txBox="1">
          <a:spLocks noChangeArrowheads="1"/>
        </xdr:cNvSpPr>
      </xdr:nvSpPr>
      <xdr:spPr bwMode="auto">
        <a:xfrm>
          <a:off x="9555480" y="107602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632</xdr:row>
      <xdr:rowOff>0</xdr:rowOff>
    </xdr:from>
    <xdr:ext cx="104775" cy="210011"/>
    <xdr:sp macro="" textlink="">
      <xdr:nvSpPr>
        <xdr:cNvPr id="117" name="Text Box 249">
          <a:extLst>
            <a:ext uri="{FF2B5EF4-FFF2-40B4-BE49-F238E27FC236}">
              <a16:creationId xmlns:a16="http://schemas.microsoft.com/office/drawing/2014/main" id="{BA48EA00-B780-4738-ADF5-CA308909A72F}"/>
            </a:ext>
          </a:extLst>
        </xdr:cNvPr>
        <xdr:cNvSpPr txBox="1">
          <a:spLocks noChangeArrowheads="1"/>
        </xdr:cNvSpPr>
      </xdr:nvSpPr>
      <xdr:spPr bwMode="auto">
        <a:xfrm>
          <a:off x="9558020" y="107602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635</xdr:row>
      <xdr:rowOff>0</xdr:rowOff>
    </xdr:from>
    <xdr:ext cx="117326" cy="218324"/>
    <xdr:sp macro="" textlink="">
      <xdr:nvSpPr>
        <xdr:cNvPr id="118" name="Text Box 249">
          <a:extLst>
            <a:ext uri="{FF2B5EF4-FFF2-40B4-BE49-F238E27FC236}">
              <a16:creationId xmlns:a16="http://schemas.microsoft.com/office/drawing/2014/main" id="{646483BC-43B7-4ADC-B7E2-62244A671A31}"/>
            </a:ext>
          </a:extLst>
        </xdr:cNvPr>
        <xdr:cNvSpPr txBox="1">
          <a:spLocks noChangeArrowheads="1"/>
        </xdr:cNvSpPr>
      </xdr:nvSpPr>
      <xdr:spPr bwMode="auto">
        <a:xfrm>
          <a:off x="9558020" y="1081049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19" name="Text Box 249">
          <a:extLst>
            <a:ext uri="{FF2B5EF4-FFF2-40B4-BE49-F238E27FC236}">
              <a16:creationId xmlns:a16="http://schemas.microsoft.com/office/drawing/2014/main" id="{6ED69E11-1957-46E4-BE25-907B515DC29D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20" name="Text Box 249">
          <a:extLst>
            <a:ext uri="{FF2B5EF4-FFF2-40B4-BE49-F238E27FC236}">
              <a16:creationId xmlns:a16="http://schemas.microsoft.com/office/drawing/2014/main" id="{2FDD5ABF-428D-4766-A9A8-BDA6045E0843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21" name="Text Box 249">
          <a:extLst>
            <a:ext uri="{FF2B5EF4-FFF2-40B4-BE49-F238E27FC236}">
              <a16:creationId xmlns:a16="http://schemas.microsoft.com/office/drawing/2014/main" id="{4D1F7F68-F61A-40C7-A00F-66BA550A85AB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22" name="Text Box 249">
          <a:extLst>
            <a:ext uri="{FF2B5EF4-FFF2-40B4-BE49-F238E27FC236}">
              <a16:creationId xmlns:a16="http://schemas.microsoft.com/office/drawing/2014/main" id="{8ACC295C-1058-49A7-B63C-2A063C2BB1B6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23" name="Text Box 249">
          <a:extLst>
            <a:ext uri="{FF2B5EF4-FFF2-40B4-BE49-F238E27FC236}">
              <a16:creationId xmlns:a16="http://schemas.microsoft.com/office/drawing/2014/main" id="{ADF2FF43-660F-427A-9791-2CACAC3E472B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24" name="Text Box 249">
          <a:extLst>
            <a:ext uri="{FF2B5EF4-FFF2-40B4-BE49-F238E27FC236}">
              <a16:creationId xmlns:a16="http://schemas.microsoft.com/office/drawing/2014/main" id="{86382CE0-106C-4778-A7B3-D48E7B89CE5F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635</xdr:row>
      <xdr:rowOff>0</xdr:rowOff>
    </xdr:from>
    <xdr:ext cx="104775" cy="210011"/>
    <xdr:sp macro="" textlink="">
      <xdr:nvSpPr>
        <xdr:cNvPr id="125" name="Text Box 249">
          <a:extLst>
            <a:ext uri="{FF2B5EF4-FFF2-40B4-BE49-F238E27FC236}">
              <a16:creationId xmlns:a16="http://schemas.microsoft.com/office/drawing/2014/main" id="{E420A61D-AB32-4353-9071-C80643291CE5}"/>
            </a:ext>
          </a:extLst>
        </xdr:cNvPr>
        <xdr:cNvSpPr txBox="1">
          <a:spLocks noChangeArrowheads="1"/>
        </xdr:cNvSpPr>
      </xdr:nvSpPr>
      <xdr:spPr bwMode="auto">
        <a:xfrm>
          <a:off x="9558020" y="1081049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635</xdr:row>
      <xdr:rowOff>0</xdr:rowOff>
    </xdr:from>
    <xdr:ext cx="117326" cy="218324"/>
    <xdr:sp macro="" textlink="">
      <xdr:nvSpPr>
        <xdr:cNvPr id="126" name="Text Box 249">
          <a:extLst>
            <a:ext uri="{FF2B5EF4-FFF2-40B4-BE49-F238E27FC236}">
              <a16:creationId xmlns:a16="http://schemas.microsoft.com/office/drawing/2014/main" id="{E91B9B2C-305F-4AB7-BC86-8489B54530D1}"/>
            </a:ext>
          </a:extLst>
        </xdr:cNvPr>
        <xdr:cNvSpPr txBox="1">
          <a:spLocks noChangeArrowheads="1"/>
        </xdr:cNvSpPr>
      </xdr:nvSpPr>
      <xdr:spPr bwMode="auto">
        <a:xfrm>
          <a:off x="9558020" y="1081049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27" name="Text Box 249">
          <a:extLst>
            <a:ext uri="{FF2B5EF4-FFF2-40B4-BE49-F238E27FC236}">
              <a16:creationId xmlns:a16="http://schemas.microsoft.com/office/drawing/2014/main" id="{1C3ABB73-4526-402A-8CF9-987F00C81BEF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28" name="Text Box 249">
          <a:extLst>
            <a:ext uri="{FF2B5EF4-FFF2-40B4-BE49-F238E27FC236}">
              <a16:creationId xmlns:a16="http://schemas.microsoft.com/office/drawing/2014/main" id="{A06C8158-8C52-4B45-B6D6-D596EDE2720F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29" name="Text Box 249">
          <a:extLst>
            <a:ext uri="{FF2B5EF4-FFF2-40B4-BE49-F238E27FC236}">
              <a16:creationId xmlns:a16="http://schemas.microsoft.com/office/drawing/2014/main" id="{2F06C61E-0225-4DF4-8E99-CD6FDA891276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30" name="Text Box 249">
          <a:extLst>
            <a:ext uri="{FF2B5EF4-FFF2-40B4-BE49-F238E27FC236}">
              <a16:creationId xmlns:a16="http://schemas.microsoft.com/office/drawing/2014/main" id="{4D5700A4-C5A1-4302-8631-C2F2807E0ABC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31" name="Text Box 249">
          <a:extLst>
            <a:ext uri="{FF2B5EF4-FFF2-40B4-BE49-F238E27FC236}">
              <a16:creationId xmlns:a16="http://schemas.microsoft.com/office/drawing/2014/main" id="{DA03D966-5331-4120-B308-883799C4C68B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635</xdr:row>
      <xdr:rowOff>0</xdr:rowOff>
    </xdr:from>
    <xdr:ext cx="104775" cy="208801"/>
    <xdr:sp macro="" textlink="">
      <xdr:nvSpPr>
        <xdr:cNvPr id="132" name="Text Box 249">
          <a:extLst>
            <a:ext uri="{FF2B5EF4-FFF2-40B4-BE49-F238E27FC236}">
              <a16:creationId xmlns:a16="http://schemas.microsoft.com/office/drawing/2014/main" id="{51D76F59-9ACA-4FAF-8C6D-D33D0599B19B}"/>
            </a:ext>
          </a:extLst>
        </xdr:cNvPr>
        <xdr:cNvSpPr txBox="1">
          <a:spLocks noChangeArrowheads="1"/>
        </xdr:cNvSpPr>
      </xdr:nvSpPr>
      <xdr:spPr bwMode="auto">
        <a:xfrm>
          <a:off x="9555480" y="1081049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635</xdr:row>
      <xdr:rowOff>0</xdr:rowOff>
    </xdr:from>
    <xdr:ext cx="104775" cy="210011"/>
    <xdr:sp macro="" textlink="">
      <xdr:nvSpPr>
        <xdr:cNvPr id="133" name="Text Box 249">
          <a:extLst>
            <a:ext uri="{FF2B5EF4-FFF2-40B4-BE49-F238E27FC236}">
              <a16:creationId xmlns:a16="http://schemas.microsoft.com/office/drawing/2014/main" id="{A32B634C-F8AF-45AD-A132-8C328ADE8B0D}"/>
            </a:ext>
          </a:extLst>
        </xdr:cNvPr>
        <xdr:cNvSpPr txBox="1">
          <a:spLocks noChangeArrowheads="1"/>
        </xdr:cNvSpPr>
      </xdr:nvSpPr>
      <xdr:spPr bwMode="auto">
        <a:xfrm>
          <a:off x="9558020" y="1081049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</xdr:row>
      <xdr:rowOff>0</xdr:rowOff>
    </xdr:from>
    <xdr:ext cx="117326" cy="218324"/>
    <xdr:sp macro="" textlink="">
      <xdr:nvSpPr>
        <xdr:cNvPr id="134" name="Text Box 249">
          <a:extLst>
            <a:ext uri="{FF2B5EF4-FFF2-40B4-BE49-F238E27FC236}">
              <a16:creationId xmlns:a16="http://schemas.microsoft.com/office/drawing/2014/main" id="{80BEEA7D-FE3C-4EA2-997D-9458D7D5B20F}"/>
            </a:ext>
          </a:extLst>
        </xdr:cNvPr>
        <xdr:cNvSpPr txBox="1">
          <a:spLocks noChangeArrowheads="1"/>
        </xdr:cNvSpPr>
      </xdr:nvSpPr>
      <xdr:spPr bwMode="auto">
        <a:xfrm>
          <a:off x="9558020" y="12748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35" name="Text Box 249">
          <a:extLst>
            <a:ext uri="{FF2B5EF4-FFF2-40B4-BE49-F238E27FC236}">
              <a16:creationId xmlns:a16="http://schemas.microsoft.com/office/drawing/2014/main" id="{59241806-1857-4C72-87EB-BBB4A99AB514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36" name="Text Box 249">
          <a:extLst>
            <a:ext uri="{FF2B5EF4-FFF2-40B4-BE49-F238E27FC236}">
              <a16:creationId xmlns:a16="http://schemas.microsoft.com/office/drawing/2014/main" id="{86AE0248-BB13-4D3F-8505-62969DC362A6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37" name="Text Box 249">
          <a:extLst>
            <a:ext uri="{FF2B5EF4-FFF2-40B4-BE49-F238E27FC236}">
              <a16:creationId xmlns:a16="http://schemas.microsoft.com/office/drawing/2014/main" id="{8830D7AB-E435-4536-A5FF-581A1CFB3387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38" name="Text Box 249">
          <a:extLst>
            <a:ext uri="{FF2B5EF4-FFF2-40B4-BE49-F238E27FC236}">
              <a16:creationId xmlns:a16="http://schemas.microsoft.com/office/drawing/2014/main" id="{8746670C-624C-4344-8B8E-85A352A640D3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39" name="Text Box 249">
          <a:extLst>
            <a:ext uri="{FF2B5EF4-FFF2-40B4-BE49-F238E27FC236}">
              <a16:creationId xmlns:a16="http://schemas.microsoft.com/office/drawing/2014/main" id="{4877AFD4-7347-4649-9963-3672E2E9507C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40" name="Text Box 249">
          <a:extLst>
            <a:ext uri="{FF2B5EF4-FFF2-40B4-BE49-F238E27FC236}">
              <a16:creationId xmlns:a16="http://schemas.microsoft.com/office/drawing/2014/main" id="{ACDEB0D6-133E-4660-817F-27FB67FB4B08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</xdr:row>
      <xdr:rowOff>0</xdr:rowOff>
    </xdr:from>
    <xdr:ext cx="104775" cy="210011"/>
    <xdr:sp macro="" textlink="">
      <xdr:nvSpPr>
        <xdr:cNvPr id="141" name="Text Box 249">
          <a:extLst>
            <a:ext uri="{FF2B5EF4-FFF2-40B4-BE49-F238E27FC236}">
              <a16:creationId xmlns:a16="http://schemas.microsoft.com/office/drawing/2014/main" id="{CA309C11-48A5-48B4-8772-C568A0508CE6}"/>
            </a:ext>
          </a:extLst>
        </xdr:cNvPr>
        <xdr:cNvSpPr txBox="1">
          <a:spLocks noChangeArrowheads="1"/>
        </xdr:cNvSpPr>
      </xdr:nvSpPr>
      <xdr:spPr bwMode="auto">
        <a:xfrm>
          <a:off x="9558020" y="12748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</xdr:row>
      <xdr:rowOff>0</xdr:rowOff>
    </xdr:from>
    <xdr:ext cx="117326" cy="218324"/>
    <xdr:sp macro="" textlink="">
      <xdr:nvSpPr>
        <xdr:cNvPr id="142" name="Text Box 249">
          <a:extLst>
            <a:ext uri="{FF2B5EF4-FFF2-40B4-BE49-F238E27FC236}">
              <a16:creationId xmlns:a16="http://schemas.microsoft.com/office/drawing/2014/main" id="{D6CF6467-07BA-4FDB-93F5-CB415101ACC9}"/>
            </a:ext>
          </a:extLst>
        </xdr:cNvPr>
        <xdr:cNvSpPr txBox="1">
          <a:spLocks noChangeArrowheads="1"/>
        </xdr:cNvSpPr>
      </xdr:nvSpPr>
      <xdr:spPr bwMode="auto">
        <a:xfrm>
          <a:off x="9558020" y="12748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43" name="Text Box 249">
          <a:extLst>
            <a:ext uri="{FF2B5EF4-FFF2-40B4-BE49-F238E27FC236}">
              <a16:creationId xmlns:a16="http://schemas.microsoft.com/office/drawing/2014/main" id="{5AA08617-4A2E-411A-BEF5-1AF90817C84E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44" name="Text Box 249">
          <a:extLst>
            <a:ext uri="{FF2B5EF4-FFF2-40B4-BE49-F238E27FC236}">
              <a16:creationId xmlns:a16="http://schemas.microsoft.com/office/drawing/2014/main" id="{063F9A9A-7F63-46CC-83AE-0D98F20F796B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45" name="Text Box 249">
          <a:extLst>
            <a:ext uri="{FF2B5EF4-FFF2-40B4-BE49-F238E27FC236}">
              <a16:creationId xmlns:a16="http://schemas.microsoft.com/office/drawing/2014/main" id="{F58084D0-F805-4623-84D2-06D426B5F980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46" name="Text Box 249">
          <a:extLst>
            <a:ext uri="{FF2B5EF4-FFF2-40B4-BE49-F238E27FC236}">
              <a16:creationId xmlns:a16="http://schemas.microsoft.com/office/drawing/2014/main" id="{4B3D5E44-6699-4E81-A418-6966E64203FC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47" name="Text Box 249">
          <a:extLst>
            <a:ext uri="{FF2B5EF4-FFF2-40B4-BE49-F238E27FC236}">
              <a16:creationId xmlns:a16="http://schemas.microsoft.com/office/drawing/2014/main" id="{F18B70AE-6952-46F2-BF67-B073583F45EA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</xdr:row>
      <xdr:rowOff>0</xdr:rowOff>
    </xdr:from>
    <xdr:ext cx="104775" cy="208801"/>
    <xdr:sp macro="" textlink="">
      <xdr:nvSpPr>
        <xdr:cNvPr id="148" name="Text Box 249">
          <a:extLst>
            <a:ext uri="{FF2B5EF4-FFF2-40B4-BE49-F238E27FC236}">
              <a16:creationId xmlns:a16="http://schemas.microsoft.com/office/drawing/2014/main" id="{237759DC-211A-4C24-AC5F-059A4C09C28C}"/>
            </a:ext>
          </a:extLst>
        </xdr:cNvPr>
        <xdr:cNvSpPr txBox="1">
          <a:spLocks noChangeArrowheads="1"/>
        </xdr:cNvSpPr>
      </xdr:nvSpPr>
      <xdr:spPr bwMode="auto">
        <a:xfrm>
          <a:off x="9555480" y="12748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</xdr:row>
      <xdr:rowOff>0</xdr:rowOff>
    </xdr:from>
    <xdr:ext cx="104775" cy="210011"/>
    <xdr:sp macro="" textlink="">
      <xdr:nvSpPr>
        <xdr:cNvPr id="149" name="Text Box 249">
          <a:extLst>
            <a:ext uri="{FF2B5EF4-FFF2-40B4-BE49-F238E27FC236}">
              <a16:creationId xmlns:a16="http://schemas.microsoft.com/office/drawing/2014/main" id="{A289BEE5-6510-4BBE-A5DD-B8B720A4DAF0}"/>
            </a:ext>
          </a:extLst>
        </xdr:cNvPr>
        <xdr:cNvSpPr txBox="1">
          <a:spLocks noChangeArrowheads="1"/>
        </xdr:cNvSpPr>
      </xdr:nvSpPr>
      <xdr:spPr bwMode="auto">
        <a:xfrm>
          <a:off x="9558020" y="12748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44</xdr:row>
      <xdr:rowOff>0</xdr:rowOff>
    </xdr:from>
    <xdr:ext cx="117326" cy="218324"/>
    <xdr:sp macro="" textlink="">
      <xdr:nvSpPr>
        <xdr:cNvPr id="150" name="Text Box 249">
          <a:extLst>
            <a:ext uri="{FF2B5EF4-FFF2-40B4-BE49-F238E27FC236}">
              <a16:creationId xmlns:a16="http://schemas.microsoft.com/office/drawing/2014/main" id="{E1AAE1E0-9F86-45C1-AB0C-00C397D19A29}"/>
            </a:ext>
          </a:extLst>
        </xdr:cNvPr>
        <xdr:cNvSpPr txBox="1">
          <a:spLocks noChangeArrowheads="1"/>
        </xdr:cNvSpPr>
      </xdr:nvSpPr>
      <xdr:spPr bwMode="auto">
        <a:xfrm>
          <a:off x="9558020" y="83896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51" name="Text Box 249">
          <a:extLst>
            <a:ext uri="{FF2B5EF4-FFF2-40B4-BE49-F238E27FC236}">
              <a16:creationId xmlns:a16="http://schemas.microsoft.com/office/drawing/2014/main" id="{0C888AB8-231F-454B-B147-F1DA2EC44A96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52" name="Text Box 249">
          <a:extLst>
            <a:ext uri="{FF2B5EF4-FFF2-40B4-BE49-F238E27FC236}">
              <a16:creationId xmlns:a16="http://schemas.microsoft.com/office/drawing/2014/main" id="{76A41AAF-E531-4FDF-9AFD-1FD2D1BE252A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53" name="Text Box 249">
          <a:extLst>
            <a:ext uri="{FF2B5EF4-FFF2-40B4-BE49-F238E27FC236}">
              <a16:creationId xmlns:a16="http://schemas.microsoft.com/office/drawing/2014/main" id="{38ED9B23-0137-4F0E-98E4-A83277620544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54" name="Text Box 249">
          <a:extLst>
            <a:ext uri="{FF2B5EF4-FFF2-40B4-BE49-F238E27FC236}">
              <a16:creationId xmlns:a16="http://schemas.microsoft.com/office/drawing/2014/main" id="{6A26DC7B-A4B9-4447-96AB-465D81C66C57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55" name="Text Box 249">
          <a:extLst>
            <a:ext uri="{FF2B5EF4-FFF2-40B4-BE49-F238E27FC236}">
              <a16:creationId xmlns:a16="http://schemas.microsoft.com/office/drawing/2014/main" id="{0FA3B3E3-D5A3-42C4-BB26-080E07260BAB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56" name="Text Box 249">
          <a:extLst>
            <a:ext uri="{FF2B5EF4-FFF2-40B4-BE49-F238E27FC236}">
              <a16:creationId xmlns:a16="http://schemas.microsoft.com/office/drawing/2014/main" id="{0231CA53-97D1-46EE-BE62-9782AE6B3691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44</xdr:row>
      <xdr:rowOff>0</xdr:rowOff>
    </xdr:from>
    <xdr:ext cx="104775" cy="210011"/>
    <xdr:sp macro="" textlink="">
      <xdr:nvSpPr>
        <xdr:cNvPr id="157" name="Text Box 249">
          <a:extLst>
            <a:ext uri="{FF2B5EF4-FFF2-40B4-BE49-F238E27FC236}">
              <a16:creationId xmlns:a16="http://schemas.microsoft.com/office/drawing/2014/main" id="{9A798311-9CE6-4120-9ACD-1BA858C2B1FB}"/>
            </a:ext>
          </a:extLst>
        </xdr:cNvPr>
        <xdr:cNvSpPr txBox="1">
          <a:spLocks noChangeArrowheads="1"/>
        </xdr:cNvSpPr>
      </xdr:nvSpPr>
      <xdr:spPr bwMode="auto">
        <a:xfrm>
          <a:off x="9558020" y="83896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44</xdr:row>
      <xdr:rowOff>0</xdr:rowOff>
    </xdr:from>
    <xdr:ext cx="117326" cy="218324"/>
    <xdr:sp macro="" textlink="">
      <xdr:nvSpPr>
        <xdr:cNvPr id="158" name="Text Box 249">
          <a:extLst>
            <a:ext uri="{FF2B5EF4-FFF2-40B4-BE49-F238E27FC236}">
              <a16:creationId xmlns:a16="http://schemas.microsoft.com/office/drawing/2014/main" id="{30F00679-B8A8-4165-928B-A6EDD900E368}"/>
            </a:ext>
          </a:extLst>
        </xdr:cNvPr>
        <xdr:cNvSpPr txBox="1">
          <a:spLocks noChangeArrowheads="1"/>
        </xdr:cNvSpPr>
      </xdr:nvSpPr>
      <xdr:spPr bwMode="auto">
        <a:xfrm>
          <a:off x="9558020" y="83896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59" name="Text Box 249">
          <a:extLst>
            <a:ext uri="{FF2B5EF4-FFF2-40B4-BE49-F238E27FC236}">
              <a16:creationId xmlns:a16="http://schemas.microsoft.com/office/drawing/2014/main" id="{D562B3FD-7E09-4E7A-A603-A003E3C4B312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60" name="Text Box 249">
          <a:extLst>
            <a:ext uri="{FF2B5EF4-FFF2-40B4-BE49-F238E27FC236}">
              <a16:creationId xmlns:a16="http://schemas.microsoft.com/office/drawing/2014/main" id="{7D5FC010-446D-4507-88B3-CC0E70672055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61" name="Text Box 249">
          <a:extLst>
            <a:ext uri="{FF2B5EF4-FFF2-40B4-BE49-F238E27FC236}">
              <a16:creationId xmlns:a16="http://schemas.microsoft.com/office/drawing/2014/main" id="{8674B600-8B7A-4604-BB5D-380EFC37EF13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62" name="Text Box 249">
          <a:extLst>
            <a:ext uri="{FF2B5EF4-FFF2-40B4-BE49-F238E27FC236}">
              <a16:creationId xmlns:a16="http://schemas.microsoft.com/office/drawing/2014/main" id="{571C99F8-1255-4947-893F-D2473FCB44EC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63" name="Text Box 249">
          <a:extLst>
            <a:ext uri="{FF2B5EF4-FFF2-40B4-BE49-F238E27FC236}">
              <a16:creationId xmlns:a16="http://schemas.microsoft.com/office/drawing/2014/main" id="{4419EA0C-EF1E-4EC3-A59D-AC0DCD9A29EF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44</xdr:row>
      <xdr:rowOff>0</xdr:rowOff>
    </xdr:from>
    <xdr:ext cx="104775" cy="208801"/>
    <xdr:sp macro="" textlink="">
      <xdr:nvSpPr>
        <xdr:cNvPr id="164" name="Text Box 249">
          <a:extLst>
            <a:ext uri="{FF2B5EF4-FFF2-40B4-BE49-F238E27FC236}">
              <a16:creationId xmlns:a16="http://schemas.microsoft.com/office/drawing/2014/main" id="{B820ADDB-05C1-4165-9E1E-C7176228D82E}"/>
            </a:ext>
          </a:extLst>
        </xdr:cNvPr>
        <xdr:cNvSpPr txBox="1">
          <a:spLocks noChangeArrowheads="1"/>
        </xdr:cNvSpPr>
      </xdr:nvSpPr>
      <xdr:spPr bwMode="auto">
        <a:xfrm>
          <a:off x="9555480" y="8389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44</xdr:row>
      <xdr:rowOff>0</xdr:rowOff>
    </xdr:from>
    <xdr:ext cx="104775" cy="210011"/>
    <xdr:sp macro="" textlink="">
      <xdr:nvSpPr>
        <xdr:cNvPr id="165" name="Text Box 249">
          <a:extLst>
            <a:ext uri="{FF2B5EF4-FFF2-40B4-BE49-F238E27FC236}">
              <a16:creationId xmlns:a16="http://schemas.microsoft.com/office/drawing/2014/main" id="{ED70DBD6-08A7-47AA-93A5-243D985A809A}"/>
            </a:ext>
          </a:extLst>
        </xdr:cNvPr>
        <xdr:cNvSpPr txBox="1">
          <a:spLocks noChangeArrowheads="1"/>
        </xdr:cNvSpPr>
      </xdr:nvSpPr>
      <xdr:spPr bwMode="auto">
        <a:xfrm>
          <a:off x="9558020" y="83896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20096" cy="220018"/>
    <xdr:sp macro="" textlink="">
      <xdr:nvSpPr>
        <xdr:cNvPr id="166" name="Text Box 249">
          <a:extLst>
            <a:ext uri="{FF2B5EF4-FFF2-40B4-BE49-F238E27FC236}">
              <a16:creationId xmlns:a16="http://schemas.microsoft.com/office/drawing/2014/main" id="{BF550AA6-C674-49F2-93D4-024B4948465A}"/>
            </a:ext>
          </a:extLst>
        </xdr:cNvPr>
        <xdr:cNvSpPr txBox="1">
          <a:spLocks noChangeArrowheads="1"/>
        </xdr:cNvSpPr>
      </xdr:nvSpPr>
      <xdr:spPr bwMode="auto">
        <a:xfrm>
          <a:off x="9558020" y="109613700"/>
          <a:ext cx="120096" cy="2200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67" name="Text Box 249">
          <a:extLst>
            <a:ext uri="{FF2B5EF4-FFF2-40B4-BE49-F238E27FC236}">
              <a16:creationId xmlns:a16="http://schemas.microsoft.com/office/drawing/2014/main" id="{5C72C7F2-1BC2-46F3-9E2C-D5050EDE431D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68" name="Text Box 249">
          <a:extLst>
            <a:ext uri="{FF2B5EF4-FFF2-40B4-BE49-F238E27FC236}">
              <a16:creationId xmlns:a16="http://schemas.microsoft.com/office/drawing/2014/main" id="{6E4054D8-B0D8-410D-9281-61C980694144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69" name="Text Box 249">
          <a:extLst>
            <a:ext uri="{FF2B5EF4-FFF2-40B4-BE49-F238E27FC236}">
              <a16:creationId xmlns:a16="http://schemas.microsoft.com/office/drawing/2014/main" id="{9654E922-6778-4C6A-8A1D-FBE054BD07F4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70" name="Text Box 249">
          <a:extLst>
            <a:ext uri="{FF2B5EF4-FFF2-40B4-BE49-F238E27FC236}">
              <a16:creationId xmlns:a16="http://schemas.microsoft.com/office/drawing/2014/main" id="{5B5B9F7B-FC35-499E-9B00-3C8B91B5A4F5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71" name="Text Box 249">
          <a:extLst>
            <a:ext uri="{FF2B5EF4-FFF2-40B4-BE49-F238E27FC236}">
              <a16:creationId xmlns:a16="http://schemas.microsoft.com/office/drawing/2014/main" id="{845355E8-6A8C-4ECD-B79D-0733800555A4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72" name="Text Box 249">
          <a:extLst>
            <a:ext uri="{FF2B5EF4-FFF2-40B4-BE49-F238E27FC236}">
              <a16:creationId xmlns:a16="http://schemas.microsoft.com/office/drawing/2014/main" id="{9F942A8E-D5D7-4591-839E-DFBFD780BAA9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04775" cy="210011"/>
    <xdr:sp macro="" textlink="">
      <xdr:nvSpPr>
        <xdr:cNvPr id="173" name="Text Box 249">
          <a:extLst>
            <a:ext uri="{FF2B5EF4-FFF2-40B4-BE49-F238E27FC236}">
              <a16:creationId xmlns:a16="http://schemas.microsoft.com/office/drawing/2014/main" id="{A17169D7-894F-45E3-A151-0EE1F0D98DEF}"/>
            </a:ext>
          </a:extLst>
        </xdr:cNvPr>
        <xdr:cNvSpPr txBox="1">
          <a:spLocks noChangeArrowheads="1"/>
        </xdr:cNvSpPr>
      </xdr:nvSpPr>
      <xdr:spPr bwMode="auto">
        <a:xfrm>
          <a:off x="9558020" y="109613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17326" cy="218324"/>
    <xdr:sp macro="" textlink="">
      <xdr:nvSpPr>
        <xdr:cNvPr id="174" name="Text Box 249">
          <a:extLst>
            <a:ext uri="{FF2B5EF4-FFF2-40B4-BE49-F238E27FC236}">
              <a16:creationId xmlns:a16="http://schemas.microsoft.com/office/drawing/2014/main" id="{5447FFA1-028E-448E-A129-781C7CB56ADC}"/>
            </a:ext>
          </a:extLst>
        </xdr:cNvPr>
        <xdr:cNvSpPr txBox="1">
          <a:spLocks noChangeArrowheads="1"/>
        </xdr:cNvSpPr>
      </xdr:nvSpPr>
      <xdr:spPr bwMode="auto">
        <a:xfrm>
          <a:off x="9558020" y="109613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75" name="Text Box 249">
          <a:extLst>
            <a:ext uri="{FF2B5EF4-FFF2-40B4-BE49-F238E27FC236}">
              <a16:creationId xmlns:a16="http://schemas.microsoft.com/office/drawing/2014/main" id="{3DC2128B-E21F-4FDA-9F35-F9173C0D3ECA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76" name="Text Box 249">
          <a:extLst>
            <a:ext uri="{FF2B5EF4-FFF2-40B4-BE49-F238E27FC236}">
              <a16:creationId xmlns:a16="http://schemas.microsoft.com/office/drawing/2014/main" id="{5D559D54-3F19-4826-8884-51CA62767F49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77" name="Text Box 249">
          <a:extLst>
            <a:ext uri="{FF2B5EF4-FFF2-40B4-BE49-F238E27FC236}">
              <a16:creationId xmlns:a16="http://schemas.microsoft.com/office/drawing/2014/main" id="{B410CBE5-0E22-42F5-8590-253C738C11AF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78" name="Text Box 249">
          <a:extLst>
            <a:ext uri="{FF2B5EF4-FFF2-40B4-BE49-F238E27FC236}">
              <a16:creationId xmlns:a16="http://schemas.microsoft.com/office/drawing/2014/main" id="{1DEDFFA5-5D1B-4BDD-A4A0-2FEE596BF05D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79" name="Text Box 249">
          <a:extLst>
            <a:ext uri="{FF2B5EF4-FFF2-40B4-BE49-F238E27FC236}">
              <a16:creationId xmlns:a16="http://schemas.microsoft.com/office/drawing/2014/main" id="{75F49505-B2BE-432D-A7E2-2BF795E2CFC8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80" name="Text Box 249">
          <a:extLst>
            <a:ext uri="{FF2B5EF4-FFF2-40B4-BE49-F238E27FC236}">
              <a16:creationId xmlns:a16="http://schemas.microsoft.com/office/drawing/2014/main" id="{8632E482-B7AF-494F-AE75-041787B46A22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04775" cy="210011"/>
    <xdr:sp macro="" textlink="">
      <xdr:nvSpPr>
        <xdr:cNvPr id="181" name="Text Box 249">
          <a:extLst>
            <a:ext uri="{FF2B5EF4-FFF2-40B4-BE49-F238E27FC236}">
              <a16:creationId xmlns:a16="http://schemas.microsoft.com/office/drawing/2014/main" id="{7F5238B7-D915-4EA0-B714-6F0306F46D10}"/>
            </a:ext>
          </a:extLst>
        </xdr:cNvPr>
        <xdr:cNvSpPr txBox="1">
          <a:spLocks noChangeArrowheads="1"/>
        </xdr:cNvSpPr>
      </xdr:nvSpPr>
      <xdr:spPr bwMode="auto">
        <a:xfrm>
          <a:off x="9558020" y="109613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17326" cy="218324"/>
    <xdr:sp macro="" textlink="">
      <xdr:nvSpPr>
        <xdr:cNvPr id="182" name="Text Box 249">
          <a:extLst>
            <a:ext uri="{FF2B5EF4-FFF2-40B4-BE49-F238E27FC236}">
              <a16:creationId xmlns:a16="http://schemas.microsoft.com/office/drawing/2014/main" id="{5A1FF81A-C5AF-49F0-A913-6E2797B6DEC2}"/>
            </a:ext>
          </a:extLst>
        </xdr:cNvPr>
        <xdr:cNvSpPr txBox="1">
          <a:spLocks noChangeArrowheads="1"/>
        </xdr:cNvSpPr>
      </xdr:nvSpPr>
      <xdr:spPr bwMode="auto">
        <a:xfrm>
          <a:off x="9558020" y="109613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83" name="Text Box 249">
          <a:extLst>
            <a:ext uri="{FF2B5EF4-FFF2-40B4-BE49-F238E27FC236}">
              <a16:creationId xmlns:a16="http://schemas.microsoft.com/office/drawing/2014/main" id="{56B551C4-1866-48EB-A9DC-1F4DEB7D1A22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84" name="Text Box 249">
          <a:extLst>
            <a:ext uri="{FF2B5EF4-FFF2-40B4-BE49-F238E27FC236}">
              <a16:creationId xmlns:a16="http://schemas.microsoft.com/office/drawing/2014/main" id="{B45173F1-E541-495E-ABC7-53054DE87342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85" name="Text Box 249">
          <a:extLst>
            <a:ext uri="{FF2B5EF4-FFF2-40B4-BE49-F238E27FC236}">
              <a16:creationId xmlns:a16="http://schemas.microsoft.com/office/drawing/2014/main" id="{C1F25C25-3EE8-4DC7-B840-527D576CDCFF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86" name="Text Box 249">
          <a:extLst>
            <a:ext uri="{FF2B5EF4-FFF2-40B4-BE49-F238E27FC236}">
              <a16:creationId xmlns:a16="http://schemas.microsoft.com/office/drawing/2014/main" id="{3591B72B-4827-4EB6-8902-BB6063695236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644</xdr:row>
      <xdr:rowOff>0</xdr:rowOff>
    </xdr:from>
    <xdr:ext cx="104775" cy="208801"/>
    <xdr:sp macro="" textlink="">
      <xdr:nvSpPr>
        <xdr:cNvPr id="187" name="Text Box 249">
          <a:extLst>
            <a:ext uri="{FF2B5EF4-FFF2-40B4-BE49-F238E27FC236}">
              <a16:creationId xmlns:a16="http://schemas.microsoft.com/office/drawing/2014/main" id="{22857892-7F05-450D-8204-1B1BD0CFCB36}"/>
            </a:ext>
          </a:extLst>
        </xdr:cNvPr>
        <xdr:cNvSpPr txBox="1">
          <a:spLocks noChangeArrowheads="1"/>
        </xdr:cNvSpPr>
      </xdr:nvSpPr>
      <xdr:spPr bwMode="auto">
        <a:xfrm>
          <a:off x="9555480" y="109613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644</xdr:row>
      <xdr:rowOff>0</xdr:rowOff>
    </xdr:from>
    <xdr:ext cx="104775" cy="210011"/>
    <xdr:sp macro="" textlink="">
      <xdr:nvSpPr>
        <xdr:cNvPr id="188" name="Text Box 249">
          <a:extLst>
            <a:ext uri="{FF2B5EF4-FFF2-40B4-BE49-F238E27FC236}">
              <a16:creationId xmlns:a16="http://schemas.microsoft.com/office/drawing/2014/main" id="{381974C2-A03A-458A-8189-9ECF98EFE9B0}"/>
            </a:ext>
          </a:extLst>
        </xdr:cNvPr>
        <xdr:cNvSpPr txBox="1">
          <a:spLocks noChangeArrowheads="1"/>
        </xdr:cNvSpPr>
      </xdr:nvSpPr>
      <xdr:spPr bwMode="auto">
        <a:xfrm>
          <a:off x="9558020" y="109613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702</xdr:row>
      <xdr:rowOff>0</xdr:rowOff>
    </xdr:from>
    <xdr:ext cx="117326" cy="218324"/>
    <xdr:sp macro="" textlink="">
      <xdr:nvSpPr>
        <xdr:cNvPr id="189" name="Text Box 249">
          <a:extLst>
            <a:ext uri="{FF2B5EF4-FFF2-40B4-BE49-F238E27FC236}">
              <a16:creationId xmlns:a16="http://schemas.microsoft.com/office/drawing/2014/main" id="{B340E511-257A-4EFA-9378-6BA34FC55CC4}"/>
            </a:ext>
          </a:extLst>
        </xdr:cNvPr>
        <xdr:cNvSpPr txBox="1">
          <a:spLocks noChangeArrowheads="1"/>
        </xdr:cNvSpPr>
      </xdr:nvSpPr>
      <xdr:spPr bwMode="auto">
        <a:xfrm>
          <a:off x="9558020" y="1194054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190" name="Text Box 249">
          <a:extLst>
            <a:ext uri="{FF2B5EF4-FFF2-40B4-BE49-F238E27FC236}">
              <a16:creationId xmlns:a16="http://schemas.microsoft.com/office/drawing/2014/main" id="{15CAB288-57D2-4616-B237-9E769FE7CEDE}"/>
            </a:ext>
          </a:extLst>
        </xdr:cNvPr>
        <xdr:cNvSpPr txBox="1">
          <a:spLocks noChangeArrowheads="1"/>
        </xdr:cNvSpPr>
      </xdr:nvSpPr>
      <xdr:spPr bwMode="auto">
        <a:xfrm>
          <a:off x="9555480" y="119405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191" name="Text Box 249">
          <a:extLst>
            <a:ext uri="{FF2B5EF4-FFF2-40B4-BE49-F238E27FC236}">
              <a16:creationId xmlns:a16="http://schemas.microsoft.com/office/drawing/2014/main" id="{089BDB30-80FD-43DE-8D05-09FFC4802436}"/>
            </a:ext>
          </a:extLst>
        </xdr:cNvPr>
        <xdr:cNvSpPr txBox="1">
          <a:spLocks noChangeArrowheads="1"/>
        </xdr:cNvSpPr>
      </xdr:nvSpPr>
      <xdr:spPr bwMode="auto">
        <a:xfrm>
          <a:off x="9555480" y="119405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192" name="Text Box 249">
          <a:extLst>
            <a:ext uri="{FF2B5EF4-FFF2-40B4-BE49-F238E27FC236}">
              <a16:creationId xmlns:a16="http://schemas.microsoft.com/office/drawing/2014/main" id="{24A88F30-2666-4D54-9D87-0838847E8DD5}"/>
            </a:ext>
          </a:extLst>
        </xdr:cNvPr>
        <xdr:cNvSpPr txBox="1">
          <a:spLocks noChangeArrowheads="1"/>
        </xdr:cNvSpPr>
      </xdr:nvSpPr>
      <xdr:spPr bwMode="auto">
        <a:xfrm>
          <a:off x="9555480" y="119405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193" name="Text Box 249">
          <a:extLst>
            <a:ext uri="{FF2B5EF4-FFF2-40B4-BE49-F238E27FC236}">
              <a16:creationId xmlns:a16="http://schemas.microsoft.com/office/drawing/2014/main" id="{D95AC296-DEC6-4353-B8F4-2C6BB27F8684}"/>
            </a:ext>
          </a:extLst>
        </xdr:cNvPr>
        <xdr:cNvSpPr txBox="1">
          <a:spLocks noChangeArrowheads="1"/>
        </xdr:cNvSpPr>
      </xdr:nvSpPr>
      <xdr:spPr bwMode="auto">
        <a:xfrm>
          <a:off x="9555480" y="119405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194" name="Text Box 249">
          <a:extLst>
            <a:ext uri="{FF2B5EF4-FFF2-40B4-BE49-F238E27FC236}">
              <a16:creationId xmlns:a16="http://schemas.microsoft.com/office/drawing/2014/main" id="{5E122893-F07D-44B1-BFAD-4B469DC47493}"/>
            </a:ext>
          </a:extLst>
        </xdr:cNvPr>
        <xdr:cNvSpPr txBox="1">
          <a:spLocks noChangeArrowheads="1"/>
        </xdr:cNvSpPr>
      </xdr:nvSpPr>
      <xdr:spPr bwMode="auto">
        <a:xfrm>
          <a:off x="9555480" y="119405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702</xdr:row>
      <xdr:rowOff>0</xdr:rowOff>
    </xdr:from>
    <xdr:ext cx="104775" cy="208801"/>
    <xdr:sp macro="" textlink="">
      <xdr:nvSpPr>
        <xdr:cNvPr id="195" name="Text Box 249">
          <a:extLst>
            <a:ext uri="{FF2B5EF4-FFF2-40B4-BE49-F238E27FC236}">
              <a16:creationId xmlns:a16="http://schemas.microsoft.com/office/drawing/2014/main" id="{F80DE849-CCDF-465F-B09C-0D524333E9FC}"/>
            </a:ext>
          </a:extLst>
        </xdr:cNvPr>
        <xdr:cNvSpPr txBox="1">
          <a:spLocks noChangeArrowheads="1"/>
        </xdr:cNvSpPr>
      </xdr:nvSpPr>
      <xdr:spPr bwMode="auto">
        <a:xfrm>
          <a:off x="9555480" y="1194054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707</xdr:row>
      <xdr:rowOff>0</xdr:rowOff>
    </xdr:from>
    <xdr:ext cx="117326" cy="218324"/>
    <xdr:sp macro="" textlink="">
      <xdr:nvSpPr>
        <xdr:cNvPr id="196" name="Text Box 249">
          <a:extLst>
            <a:ext uri="{FF2B5EF4-FFF2-40B4-BE49-F238E27FC236}">
              <a16:creationId xmlns:a16="http://schemas.microsoft.com/office/drawing/2014/main" id="{7F232B45-D1FA-4988-B465-15E0CD671D25}"/>
            </a:ext>
          </a:extLst>
        </xdr:cNvPr>
        <xdr:cNvSpPr txBox="1">
          <a:spLocks noChangeArrowheads="1"/>
        </xdr:cNvSpPr>
      </xdr:nvSpPr>
      <xdr:spPr bwMode="auto">
        <a:xfrm>
          <a:off x="9558020" y="1202436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197" name="Text Box 249">
          <a:extLst>
            <a:ext uri="{FF2B5EF4-FFF2-40B4-BE49-F238E27FC236}">
              <a16:creationId xmlns:a16="http://schemas.microsoft.com/office/drawing/2014/main" id="{C4481D73-A333-4645-9F25-F586A35C96D4}"/>
            </a:ext>
          </a:extLst>
        </xdr:cNvPr>
        <xdr:cNvSpPr txBox="1">
          <a:spLocks noChangeArrowheads="1"/>
        </xdr:cNvSpPr>
      </xdr:nvSpPr>
      <xdr:spPr bwMode="auto">
        <a:xfrm>
          <a:off x="9555480" y="120243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198" name="Text Box 249">
          <a:extLst>
            <a:ext uri="{FF2B5EF4-FFF2-40B4-BE49-F238E27FC236}">
              <a16:creationId xmlns:a16="http://schemas.microsoft.com/office/drawing/2014/main" id="{7E203138-C9DB-4E38-A5E7-2CDD5A17D830}"/>
            </a:ext>
          </a:extLst>
        </xdr:cNvPr>
        <xdr:cNvSpPr txBox="1">
          <a:spLocks noChangeArrowheads="1"/>
        </xdr:cNvSpPr>
      </xdr:nvSpPr>
      <xdr:spPr bwMode="auto">
        <a:xfrm>
          <a:off x="9555480" y="120243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199" name="Text Box 249">
          <a:extLst>
            <a:ext uri="{FF2B5EF4-FFF2-40B4-BE49-F238E27FC236}">
              <a16:creationId xmlns:a16="http://schemas.microsoft.com/office/drawing/2014/main" id="{254F2399-1D99-41C6-9DB8-A6424E3E0EE8}"/>
            </a:ext>
          </a:extLst>
        </xdr:cNvPr>
        <xdr:cNvSpPr txBox="1">
          <a:spLocks noChangeArrowheads="1"/>
        </xdr:cNvSpPr>
      </xdr:nvSpPr>
      <xdr:spPr bwMode="auto">
        <a:xfrm>
          <a:off x="9555480" y="120243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200" name="Text Box 249">
          <a:extLst>
            <a:ext uri="{FF2B5EF4-FFF2-40B4-BE49-F238E27FC236}">
              <a16:creationId xmlns:a16="http://schemas.microsoft.com/office/drawing/2014/main" id="{5496343D-64F7-40B5-A3AC-10FADA71CF8C}"/>
            </a:ext>
          </a:extLst>
        </xdr:cNvPr>
        <xdr:cNvSpPr txBox="1">
          <a:spLocks noChangeArrowheads="1"/>
        </xdr:cNvSpPr>
      </xdr:nvSpPr>
      <xdr:spPr bwMode="auto">
        <a:xfrm>
          <a:off x="9555480" y="120243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201" name="Text Box 249">
          <a:extLst>
            <a:ext uri="{FF2B5EF4-FFF2-40B4-BE49-F238E27FC236}">
              <a16:creationId xmlns:a16="http://schemas.microsoft.com/office/drawing/2014/main" id="{F6912A8F-E122-44C4-B4FD-6227CF74FE42}"/>
            </a:ext>
          </a:extLst>
        </xdr:cNvPr>
        <xdr:cNvSpPr txBox="1">
          <a:spLocks noChangeArrowheads="1"/>
        </xdr:cNvSpPr>
      </xdr:nvSpPr>
      <xdr:spPr bwMode="auto">
        <a:xfrm>
          <a:off x="9555480" y="120243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707</xdr:row>
      <xdr:rowOff>0</xdr:rowOff>
    </xdr:from>
    <xdr:ext cx="104775" cy="208801"/>
    <xdr:sp macro="" textlink="">
      <xdr:nvSpPr>
        <xdr:cNvPr id="202" name="Text Box 249">
          <a:extLst>
            <a:ext uri="{FF2B5EF4-FFF2-40B4-BE49-F238E27FC236}">
              <a16:creationId xmlns:a16="http://schemas.microsoft.com/office/drawing/2014/main" id="{E90828CA-6FD6-421C-BB91-62E148E092A7}"/>
            </a:ext>
          </a:extLst>
        </xdr:cNvPr>
        <xdr:cNvSpPr txBox="1">
          <a:spLocks noChangeArrowheads="1"/>
        </xdr:cNvSpPr>
      </xdr:nvSpPr>
      <xdr:spPr bwMode="auto">
        <a:xfrm>
          <a:off x="9555480" y="1202436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707</xdr:row>
      <xdr:rowOff>0</xdr:rowOff>
    </xdr:from>
    <xdr:ext cx="104775" cy="210011"/>
    <xdr:sp macro="" textlink="">
      <xdr:nvSpPr>
        <xdr:cNvPr id="203" name="Text Box 249">
          <a:extLst>
            <a:ext uri="{FF2B5EF4-FFF2-40B4-BE49-F238E27FC236}">
              <a16:creationId xmlns:a16="http://schemas.microsoft.com/office/drawing/2014/main" id="{078A36F6-E5B4-421F-A8CF-6A1943AE99EA}"/>
            </a:ext>
          </a:extLst>
        </xdr:cNvPr>
        <xdr:cNvSpPr txBox="1">
          <a:spLocks noChangeArrowheads="1"/>
        </xdr:cNvSpPr>
      </xdr:nvSpPr>
      <xdr:spPr bwMode="auto">
        <a:xfrm>
          <a:off x="9558020" y="1202436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204" name="Text Box 249">
          <a:extLst>
            <a:ext uri="{FF2B5EF4-FFF2-40B4-BE49-F238E27FC236}">
              <a16:creationId xmlns:a16="http://schemas.microsoft.com/office/drawing/2014/main" id="{8E9927F8-2198-48D9-8937-9F2B77B6DEB2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05" name="Text Box 249">
          <a:extLst>
            <a:ext uri="{FF2B5EF4-FFF2-40B4-BE49-F238E27FC236}">
              <a16:creationId xmlns:a16="http://schemas.microsoft.com/office/drawing/2014/main" id="{29729BCD-BEFA-4DCF-9EBA-104C07E69735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06" name="Text Box 249">
          <a:extLst>
            <a:ext uri="{FF2B5EF4-FFF2-40B4-BE49-F238E27FC236}">
              <a16:creationId xmlns:a16="http://schemas.microsoft.com/office/drawing/2014/main" id="{E7496BE2-F4BD-4BD2-A2E6-AC116B326B47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07" name="Text Box 249">
          <a:extLst>
            <a:ext uri="{FF2B5EF4-FFF2-40B4-BE49-F238E27FC236}">
              <a16:creationId xmlns:a16="http://schemas.microsoft.com/office/drawing/2014/main" id="{D75B29C9-90FD-4849-AD3B-16BAEF925D4D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08" name="Text Box 249">
          <a:extLst>
            <a:ext uri="{FF2B5EF4-FFF2-40B4-BE49-F238E27FC236}">
              <a16:creationId xmlns:a16="http://schemas.microsoft.com/office/drawing/2014/main" id="{7C958F09-9318-4696-9472-3E5367F5D3E7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09" name="Text Box 249">
          <a:extLst>
            <a:ext uri="{FF2B5EF4-FFF2-40B4-BE49-F238E27FC236}">
              <a16:creationId xmlns:a16="http://schemas.microsoft.com/office/drawing/2014/main" id="{82566EE2-D415-4153-823E-49D8CCC49A24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0" name="Text Box 249">
          <a:extLst>
            <a:ext uri="{FF2B5EF4-FFF2-40B4-BE49-F238E27FC236}">
              <a16:creationId xmlns:a16="http://schemas.microsoft.com/office/drawing/2014/main" id="{9A8FBAA2-4253-4669-8FA7-4C82103DB6B7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11" name="Text Box 249">
          <a:extLst>
            <a:ext uri="{FF2B5EF4-FFF2-40B4-BE49-F238E27FC236}">
              <a16:creationId xmlns:a16="http://schemas.microsoft.com/office/drawing/2014/main" id="{029459EE-55FB-43A2-BE0B-6A41ED4ACD00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212" name="Text Box 249">
          <a:extLst>
            <a:ext uri="{FF2B5EF4-FFF2-40B4-BE49-F238E27FC236}">
              <a16:creationId xmlns:a16="http://schemas.microsoft.com/office/drawing/2014/main" id="{30D63BCF-EA5A-4B22-B899-34523DEA7F17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3" name="Text Box 249">
          <a:extLst>
            <a:ext uri="{FF2B5EF4-FFF2-40B4-BE49-F238E27FC236}">
              <a16:creationId xmlns:a16="http://schemas.microsoft.com/office/drawing/2014/main" id="{4A6C25B6-8140-4E73-ADBE-36F2C8A249E9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4" name="Text Box 249">
          <a:extLst>
            <a:ext uri="{FF2B5EF4-FFF2-40B4-BE49-F238E27FC236}">
              <a16:creationId xmlns:a16="http://schemas.microsoft.com/office/drawing/2014/main" id="{F187E850-AD7C-45E2-AFE9-E2B75ACB1203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5" name="Text Box 249">
          <a:extLst>
            <a:ext uri="{FF2B5EF4-FFF2-40B4-BE49-F238E27FC236}">
              <a16:creationId xmlns:a16="http://schemas.microsoft.com/office/drawing/2014/main" id="{5E523FAD-0893-4EFF-8E2F-58E39B519DF4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6" name="Text Box 249">
          <a:extLst>
            <a:ext uri="{FF2B5EF4-FFF2-40B4-BE49-F238E27FC236}">
              <a16:creationId xmlns:a16="http://schemas.microsoft.com/office/drawing/2014/main" id="{EBB53A73-7626-4421-9519-1BEBE33DF1E6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7" name="Text Box 249">
          <a:extLst>
            <a:ext uri="{FF2B5EF4-FFF2-40B4-BE49-F238E27FC236}">
              <a16:creationId xmlns:a16="http://schemas.microsoft.com/office/drawing/2014/main" id="{22531A7F-6BAF-4878-BF86-5574F1E784E7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18" name="Text Box 249">
          <a:extLst>
            <a:ext uri="{FF2B5EF4-FFF2-40B4-BE49-F238E27FC236}">
              <a16:creationId xmlns:a16="http://schemas.microsoft.com/office/drawing/2014/main" id="{77489534-184F-42F9-93F9-232060BAB8C3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19" name="Text Box 249">
          <a:extLst>
            <a:ext uri="{FF2B5EF4-FFF2-40B4-BE49-F238E27FC236}">
              <a16:creationId xmlns:a16="http://schemas.microsoft.com/office/drawing/2014/main" id="{3337ACD1-973D-44F4-824F-3C533555AFD6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220" name="Text Box 249">
          <a:extLst>
            <a:ext uri="{FF2B5EF4-FFF2-40B4-BE49-F238E27FC236}">
              <a16:creationId xmlns:a16="http://schemas.microsoft.com/office/drawing/2014/main" id="{6BC031C8-853E-426B-BB84-0641B8CEA8B1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1" name="Text Box 249">
          <a:extLst>
            <a:ext uri="{FF2B5EF4-FFF2-40B4-BE49-F238E27FC236}">
              <a16:creationId xmlns:a16="http://schemas.microsoft.com/office/drawing/2014/main" id="{B7A8EAFB-B216-46D8-8118-6C939FBADA29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2" name="Text Box 249">
          <a:extLst>
            <a:ext uri="{FF2B5EF4-FFF2-40B4-BE49-F238E27FC236}">
              <a16:creationId xmlns:a16="http://schemas.microsoft.com/office/drawing/2014/main" id="{9E11DE88-3F25-45E4-8432-064FB9425868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3" name="Text Box 249">
          <a:extLst>
            <a:ext uri="{FF2B5EF4-FFF2-40B4-BE49-F238E27FC236}">
              <a16:creationId xmlns:a16="http://schemas.microsoft.com/office/drawing/2014/main" id="{987ABAC2-E5E6-45F2-BCDE-FB07DF9E8D21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4" name="Text Box 249">
          <a:extLst>
            <a:ext uri="{FF2B5EF4-FFF2-40B4-BE49-F238E27FC236}">
              <a16:creationId xmlns:a16="http://schemas.microsoft.com/office/drawing/2014/main" id="{AA8D9235-9A67-4E08-A540-18FBF2ACEA56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5" name="Text Box 249">
          <a:extLst>
            <a:ext uri="{FF2B5EF4-FFF2-40B4-BE49-F238E27FC236}">
              <a16:creationId xmlns:a16="http://schemas.microsoft.com/office/drawing/2014/main" id="{3BA92233-2434-405B-AC9B-CF14A225B02E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6" name="Text Box 249">
          <a:extLst>
            <a:ext uri="{FF2B5EF4-FFF2-40B4-BE49-F238E27FC236}">
              <a16:creationId xmlns:a16="http://schemas.microsoft.com/office/drawing/2014/main" id="{BBEE9D90-E085-4306-9D25-E93B50000520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27" name="Text Box 249">
          <a:extLst>
            <a:ext uri="{FF2B5EF4-FFF2-40B4-BE49-F238E27FC236}">
              <a16:creationId xmlns:a16="http://schemas.microsoft.com/office/drawing/2014/main" id="{3FDF7EC3-D33A-4C18-90B0-163672B4DF82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228" name="Text Box 249">
          <a:extLst>
            <a:ext uri="{FF2B5EF4-FFF2-40B4-BE49-F238E27FC236}">
              <a16:creationId xmlns:a16="http://schemas.microsoft.com/office/drawing/2014/main" id="{325D0C46-8A24-4B30-862A-6C0B8CFAFCC8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29" name="Text Box 249">
          <a:extLst>
            <a:ext uri="{FF2B5EF4-FFF2-40B4-BE49-F238E27FC236}">
              <a16:creationId xmlns:a16="http://schemas.microsoft.com/office/drawing/2014/main" id="{27F3FD5E-D8CB-40E3-A1CF-052F9C9FBEDB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0" name="Text Box 249">
          <a:extLst>
            <a:ext uri="{FF2B5EF4-FFF2-40B4-BE49-F238E27FC236}">
              <a16:creationId xmlns:a16="http://schemas.microsoft.com/office/drawing/2014/main" id="{CA8A1553-C0B5-4476-B229-CE4C5B25ECFC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1" name="Text Box 249">
          <a:extLst>
            <a:ext uri="{FF2B5EF4-FFF2-40B4-BE49-F238E27FC236}">
              <a16:creationId xmlns:a16="http://schemas.microsoft.com/office/drawing/2014/main" id="{F4E44B22-D25B-4F02-AC8F-EC29E07F7889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2" name="Text Box 249">
          <a:extLst>
            <a:ext uri="{FF2B5EF4-FFF2-40B4-BE49-F238E27FC236}">
              <a16:creationId xmlns:a16="http://schemas.microsoft.com/office/drawing/2014/main" id="{2A27A4F8-CCC6-4719-A639-5E6C66738A79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3" name="Text Box 249">
          <a:extLst>
            <a:ext uri="{FF2B5EF4-FFF2-40B4-BE49-F238E27FC236}">
              <a16:creationId xmlns:a16="http://schemas.microsoft.com/office/drawing/2014/main" id="{47F37F71-BD23-4FFA-AA56-23BD18073417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4" name="Text Box 249">
          <a:extLst>
            <a:ext uri="{FF2B5EF4-FFF2-40B4-BE49-F238E27FC236}">
              <a16:creationId xmlns:a16="http://schemas.microsoft.com/office/drawing/2014/main" id="{BE9736AF-88C7-445F-8E7D-5568B2DA801A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35" name="Text Box 249">
          <a:extLst>
            <a:ext uri="{FF2B5EF4-FFF2-40B4-BE49-F238E27FC236}">
              <a16:creationId xmlns:a16="http://schemas.microsoft.com/office/drawing/2014/main" id="{06587184-B46D-42E3-A48B-8D12AEB30DC4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236" name="Text Box 249">
          <a:extLst>
            <a:ext uri="{FF2B5EF4-FFF2-40B4-BE49-F238E27FC236}">
              <a16:creationId xmlns:a16="http://schemas.microsoft.com/office/drawing/2014/main" id="{5A82E9A4-4EB7-431D-8A89-82625D01744D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7" name="Text Box 249">
          <a:extLst>
            <a:ext uri="{FF2B5EF4-FFF2-40B4-BE49-F238E27FC236}">
              <a16:creationId xmlns:a16="http://schemas.microsoft.com/office/drawing/2014/main" id="{6AE2C102-3150-4A0D-BE26-534E1AA57F6A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8" name="Text Box 249">
          <a:extLst>
            <a:ext uri="{FF2B5EF4-FFF2-40B4-BE49-F238E27FC236}">
              <a16:creationId xmlns:a16="http://schemas.microsoft.com/office/drawing/2014/main" id="{4E3C7C3C-C14A-46F9-A12F-1162489340F4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39" name="Text Box 249">
          <a:extLst>
            <a:ext uri="{FF2B5EF4-FFF2-40B4-BE49-F238E27FC236}">
              <a16:creationId xmlns:a16="http://schemas.microsoft.com/office/drawing/2014/main" id="{968E0D79-CC13-4CED-A16C-0711325429B7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0" name="Text Box 249">
          <a:extLst>
            <a:ext uri="{FF2B5EF4-FFF2-40B4-BE49-F238E27FC236}">
              <a16:creationId xmlns:a16="http://schemas.microsoft.com/office/drawing/2014/main" id="{0DB4C38C-BD37-4992-9B77-2966473F8ACA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1" name="Text Box 249">
          <a:extLst>
            <a:ext uri="{FF2B5EF4-FFF2-40B4-BE49-F238E27FC236}">
              <a16:creationId xmlns:a16="http://schemas.microsoft.com/office/drawing/2014/main" id="{8F020E6F-B14C-4491-87CD-15D434EB03BB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2" name="Text Box 249">
          <a:extLst>
            <a:ext uri="{FF2B5EF4-FFF2-40B4-BE49-F238E27FC236}">
              <a16:creationId xmlns:a16="http://schemas.microsoft.com/office/drawing/2014/main" id="{6123D12A-F124-4C5B-98CF-27547E9249A1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43" name="Text Box 249">
          <a:extLst>
            <a:ext uri="{FF2B5EF4-FFF2-40B4-BE49-F238E27FC236}">
              <a16:creationId xmlns:a16="http://schemas.microsoft.com/office/drawing/2014/main" id="{E6C1A4F1-CBDF-484D-9531-C2688657FA1C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17326" cy="218324"/>
    <xdr:sp macro="" textlink="">
      <xdr:nvSpPr>
        <xdr:cNvPr id="244" name="Text Box 249">
          <a:extLst>
            <a:ext uri="{FF2B5EF4-FFF2-40B4-BE49-F238E27FC236}">
              <a16:creationId xmlns:a16="http://schemas.microsoft.com/office/drawing/2014/main" id="{1E22D30D-0F08-4F2F-9050-06FC3C2E0F2F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5" name="Text Box 249">
          <a:extLst>
            <a:ext uri="{FF2B5EF4-FFF2-40B4-BE49-F238E27FC236}">
              <a16:creationId xmlns:a16="http://schemas.microsoft.com/office/drawing/2014/main" id="{166CBA9F-C48E-4FAC-91DD-87A21B8B2D4B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6" name="Text Box 249">
          <a:extLst>
            <a:ext uri="{FF2B5EF4-FFF2-40B4-BE49-F238E27FC236}">
              <a16:creationId xmlns:a16="http://schemas.microsoft.com/office/drawing/2014/main" id="{7F3A552F-4EB4-45DE-A5DD-0007B81A9718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7" name="Text Box 249">
          <a:extLst>
            <a:ext uri="{FF2B5EF4-FFF2-40B4-BE49-F238E27FC236}">
              <a16:creationId xmlns:a16="http://schemas.microsoft.com/office/drawing/2014/main" id="{324BFB2A-CC55-43FC-B106-909CFEA51FE2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8" name="Text Box 249">
          <a:extLst>
            <a:ext uri="{FF2B5EF4-FFF2-40B4-BE49-F238E27FC236}">
              <a16:creationId xmlns:a16="http://schemas.microsoft.com/office/drawing/2014/main" id="{5256BDF7-CA50-45D9-9116-B55FB8251CE1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49" name="Text Box 249">
          <a:extLst>
            <a:ext uri="{FF2B5EF4-FFF2-40B4-BE49-F238E27FC236}">
              <a16:creationId xmlns:a16="http://schemas.microsoft.com/office/drawing/2014/main" id="{EBE2DD0C-3A0D-4280-8A12-D54C692F6E01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636</xdr:row>
      <xdr:rowOff>0</xdr:rowOff>
    </xdr:from>
    <xdr:ext cx="104775" cy="208801"/>
    <xdr:sp macro="" textlink="">
      <xdr:nvSpPr>
        <xdr:cNvPr id="250" name="Text Box 249">
          <a:extLst>
            <a:ext uri="{FF2B5EF4-FFF2-40B4-BE49-F238E27FC236}">
              <a16:creationId xmlns:a16="http://schemas.microsoft.com/office/drawing/2014/main" id="{ABBD009F-47F5-4BA0-BE92-B23C8D0E45E8}"/>
            </a:ext>
          </a:extLst>
        </xdr:cNvPr>
        <xdr:cNvSpPr txBox="1">
          <a:spLocks noChangeArrowheads="1"/>
        </xdr:cNvSpPr>
      </xdr:nvSpPr>
      <xdr:spPr bwMode="auto">
        <a:xfrm>
          <a:off x="9555480" y="1082725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636</xdr:row>
      <xdr:rowOff>0</xdr:rowOff>
    </xdr:from>
    <xdr:ext cx="104775" cy="210011"/>
    <xdr:sp macro="" textlink="">
      <xdr:nvSpPr>
        <xdr:cNvPr id="251" name="Text Box 249">
          <a:extLst>
            <a:ext uri="{FF2B5EF4-FFF2-40B4-BE49-F238E27FC236}">
              <a16:creationId xmlns:a16="http://schemas.microsoft.com/office/drawing/2014/main" id="{C9DEAEA1-6FAB-43E0-914F-6C258C5691E1}"/>
            </a:ext>
          </a:extLst>
        </xdr:cNvPr>
        <xdr:cNvSpPr txBox="1">
          <a:spLocks noChangeArrowheads="1"/>
        </xdr:cNvSpPr>
      </xdr:nvSpPr>
      <xdr:spPr bwMode="auto">
        <a:xfrm>
          <a:off x="9558020" y="1082725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703</xdr:row>
      <xdr:rowOff>0</xdr:rowOff>
    </xdr:from>
    <xdr:ext cx="117326" cy="218324"/>
    <xdr:sp macro="" textlink="">
      <xdr:nvSpPr>
        <xdr:cNvPr id="252" name="Text Box 249">
          <a:extLst>
            <a:ext uri="{FF2B5EF4-FFF2-40B4-BE49-F238E27FC236}">
              <a16:creationId xmlns:a16="http://schemas.microsoft.com/office/drawing/2014/main" id="{D65E551F-D2B8-49E4-86CB-4368BBCE2886}"/>
            </a:ext>
          </a:extLst>
        </xdr:cNvPr>
        <xdr:cNvSpPr txBox="1">
          <a:spLocks noChangeArrowheads="1"/>
        </xdr:cNvSpPr>
      </xdr:nvSpPr>
      <xdr:spPr bwMode="auto">
        <a:xfrm>
          <a:off x="9558020" y="1195730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53" name="Text Box 249">
          <a:extLst>
            <a:ext uri="{FF2B5EF4-FFF2-40B4-BE49-F238E27FC236}">
              <a16:creationId xmlns:a16="http://schemas.microsoft.com/office/drawing/2014/main" id="{31551738-4D16-4450-8621-97C45342E868}"/>
            </a:ext>
          </a:extLst>
        </xdr:cNvPr>
        <xdr:cNvSpPr txBox="1">
          <a:spLocks noChangeArrowheads="1"/>
        </xdr:cNvSpPr>
      </xdr:nvSpPr>
      <xdr:spPr bwMode="auto">
        <a:xfrm>
          <a:off x="9555480" y="119573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54" name="Text Box 249">
          <a:extLst>
            <a:ext uri="{FF2B5EF4-FFF2-40B4-BE49-F238E27FC236}">
              <a16:creationId xmlns:a16="http://schemas.microsoft.com/office/drawing/2014/main" id="{09C29904-BBA8-47FE-8316-1B5692160D02}"/>
            </a:ext>
          </a:extLst>
        </xdr:cNvPr>
        <xdr:cNvSpPr txBox="1">
          <a:spLocks noChangeArrowheads="1"/>
        </xdr:cNvSpPr>
      </xdr:nvSpPr>
      <xdr:spPr bwMode="auto">
        <a:xfrm>
          <a:off x="9555480" y="119573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55" name="Text Box 249">
          <a:extLst>
            <a:ext uri="{FF2B5EF4-FFF2-40B4-BE49-F238E27FC236}">
              <a16:creationId xmlns:a16="http://schemas.microsoft.com/office/drawing/2014/main" id="{57756DBB-1BDD-42BC-BEF9-A9C818244DAC}"/>
            </a:ext>
          </a:extLst>
        </xdr:cNvPr>
        <xdr:cNvSpPr txBox="1">
          <a:spLocks noChangeArrowheads="1"/>
        </xdr:cNvSpPr>
      </xdr:nvSpPr>
      <xdr:spPr bwMode="auto">
        <a:xfrm>
          <a:off x="9555480" y="119573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56" name="Text Box 249">
          <a:extLst>
            <a:ext uri="{FF2B5EF4-FFF2-40B4-BE49-F238E27FC236}">
              <a16:creationId xmlns:a16="http://schemas.microsoft.com/office/drawing/2014/main" id="{19EDFB15-69E4-41B3-831F-8ABD32F06902}"/>
            </a:ext>
          </a:extLst>
        </xdr:cNvPr>
        <xdr:cNvSpPr txBox="1">
          <a:spLocks noChangeArrowheads="1"/>
        </xdr:cNvSpPr>
      </xdr:nvSpPr>
      <xdr:spPr bwMode="auto">
        <a:xfrm>
          <a:off x="9555480" y="119573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57" name="Text Box 249">
          <a:extLst>
            <a:ext uri="{FF2B5EF4-FFF2-40B4-BE49-F238E27FC236}">
              <a16:creationId xmlns:a16="http://schemas.microsoft.com/office/drawing/2014/main" id="{A8EBA4E4-641E-4C39-B55B-8047689D618B}"/>
            </a:ext>
          </a:extLst>
        </xdr:cNvPr>
        <xdr:cNvSpPr txBox="1">
          <a:spLocks noChangeArrowheads="1"/>
        </xdr:cNvSpPr>
      </xdr:nvSpPr>
      <xdr:spPr bwMode="auto">
        <a:xfrm>
          <a:off x="9555480" y="119573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703</xdr:row>
      <xdr:rowOff>0</xdr:rowOff>
    </xdr:from>
    <xdr:ext cx="104775" cy="208801"/>
    <xdr:sp macro="" textlink="">
      <xdr:nvSpPr>
        <xdr:cNvPr id="258" name="Text Box 249">
          <a:extLst>
            <a:ext uri="{FF2B5EF4-FFF2-40B4-BE49-F238E27FC236}">
              <a16:creationId xmlns:a16="http://schemas.microsoft.com/office/drawing/2014/main" id="{955BABD9-73EC-4661-BEBD-2A0A75FFC142}"/>
            </a:ext>
          </a:extLst>
        </xdr:cNvPr>
        <xdr:cNvSpPr txBox="1">
          <a:spLocks noChangeArrowheads="1"/>
        </xdr:cNvSpPr>
      </xdr:nvSpPr>
      <xdr:spPr bwMode="auto">
        <a:xfrm>
          <a:off x="9555480" y="1195730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703</xdr:row>
      <xdr:rowOff>0</xdr:rowOff>
    </xdr:from>
    <xdr:ext cx="104775" cy="210011"/>
    <xdr:sp macro="" textlink="">
      <xdr:nvSpPr>
        <xdr:cNvPr id="259" name="Text Box 249">
          <a:extLst>
            <a:ext uri="{FF2B5EF4-FFF2-40B4-BE49-F238E27FC236}">
              <a16:creationId xmlns:a16="http://schemas.microsoft.com/office/drawing/2014/main" id="{0E8D7FB5-D2EA-41E2-9223-36CC04B44DA6}"/>
            </a:ext>
          </a:extLst>
        </xdr:cNvPr>
        <xdr:cNvSpPr txBox="1">
          <a:spLocks noChangeArrowheads="1"/>
        </xdr:cNvSpPr>
      </xdr:nvSpPr>
      <xdr:spPr bwMode="auto">
        <a:xfrm>
          <a:off x="9558020" y="1195730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704</xdr:row>
      <xdr:rowOff>0</xdr:rowOff>
    </xdr:from>
    <xdr:ext cx="117326" cy="218324"/>
    <xdr:sp macro="" textlink="">
      <xdr:nvSpPr>
        <xdr:cNvPr id="260" name="Text Box 249">
          <a:extLst>
            <a:ext uri="{FF2B5EF4-FFF2-40B4-BE49-F238E27FC236}">
              <a16:creationId xmlns:a16="http://schemas.microsoft.com/office/drawing/2014/main" id="{C3B8697F-4123-4719-BE76-907DBD416E82}"/>
            </a:ext>
          </a:extLst>
        </xdr:cNvPr>
        <xdr:cNvSpPr txBox="1">
          <a:spLocks noChangeArrowheads="1"/>
        </xdr:cNvSpPr>
      </xdr:nvSpPr>
      <xdr:spPr bwMode="auto">
        <a:xfrm>
          <a:off x="9558020" y="1197406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1" name="Text Box 249">
          <a:extLst>
            <a:ext uri="{FF2B5EF4-FFF2-40B4-BE49-F238E27FC236}">
              <a16:creationId xmlns:a16="http://schemas.microsoft.com/office/drawing/2014/main" id="{EAE51B09-E4DD-42D6-BC38-B2FFBFD8C4C4}"/>
            </a:ext>
          </a:extLst>
        </xdr:cNvPr>
        <xdr:cNvSpPr txBox="1">
          <a:spLocks noChangeArrowheads="1"/>
        </xdr:cNvSpPr>
      </xdr:nvSpPr>
      <xdr:spPr bwMode="auto">
        <a:xfrm>
          <a:off x="9555480" y="1197406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2" name="Text Box 249">
          <a:extLst>
            <a:ext uri="{FF2B5EF4-FFF2-40B4-BE49-F238E27FC236}">
              <a16:creationId xmlns:a16="http://schemas.microsoft.com/office/drawing/2014/main" id="{97DADC0D-F5C9-4509-AA51-BEE1AAEE3C76}"/>
            </a:ext>
          </a:extLst>
        </xdr:cNvPr>
        <xdr:cNvSpPr txBox="1">
          <a:spLocks noChangeArrowheads="1"/>
        </xdr:cNvSpPr>
      </xdr:nvSpPr>
      <xdr:spPr bwMode="auto">
        <a:xfrm>
          <a:off x="9555480" y="1197406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3" name="Text Box 249">
          <a:extLst>
            <a:ext uri="{FF2B5EF4-FFF2-40B4-BE49-F238E27FC236}">
              <a16:creationId xmlns:a16="http://schemas.microsoft.com/office/drawing/2014/main" id="{FB5A9D2C-0816-4671-B153-0C98CD618CC6}"/>
            </a:ext>
          </a:extLst>
        </xdr:cNvPr>
        <xdr:cNvSpPr txBox="1">
          <a:spLocks noChangeArrowheads="1"/>
        </xdr:cNvSpPr>
      </xdr:nvSpPr>
      <xdr:spPr bwMode="auto">
        <a:xfrm>
          <a:off x="9555480" y="1197406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4" name="Text Box 249">
          <a:extLst>
            <a:ext uri="{FF2B5EF4-FFF2-40B4-BE49-F238E27FC236}">
              <a16:creationId xmlns:a16="http://schemas.microsoft.com/office/drawing/2014/main" id="{DF7C6B72-C5DF-45C1-8DA9-DF724BFFB903}"/>
            </a:ext>
          </a:extLst>
        </xdr:cNvPr>
        <xdr:cNvSpPr txBox="1">
          <a:spLocks noChangeArrowheads="1"/>
        </xdr:cNvSpPr>
      </xdr:nvSpPr>
      <xdr:spPr bwMode="auto">
        <a:xfrm>
          <a:off x="9555480" y="1197406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5" name="Text Box 249">
          <a:extLst>
            <a:ext uri="{FF2B5EF4-FFF2-40B4-BE49-F238E27FC236}">
              <a16:creationId xmlns:a16="http://schemas.microsoft.com/office/drawing/2014/main" id="{9651DC6A-7049-46DD-8719-9F80BDF891E9}"/>
            </a:ext>
          </a:extLst>
        </xdr:cNvPr>
        <xdr:cNvSpPr txBox="1">
          <a:spLocks noChangeArrowheads="1"/>
        </xdr:cNvSpPr>
      </xdr:nvSpPr>
      <xdr:spPr bwMode="auto">
        <a:xfrm>
          <a:off x="9555480" y="1197406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704</xdr:row>
      <xdr:rowOff>0</xdr:rowOff>
    </xdr:from>
    <xdr:ext cx="104775" cy="208801"/>
    <xdr:sp macro="" textlink="">
      <xdr:nvSpPr>
        <xdr:cNvPr id="266" name="Text Box 249">
          <a:extLst>
            <a:ext uri="{FF2B5EF4-FFF2-40B4-BE49-F238E27FC236}">
              <a16:creationId xmlns:a16="http://schemas.microsoft.com/office/drawing/2014/main" id="{D69A6E3B-1301-4A26-91A7-C22477BF9222}"/>
            </a:ext>
          </a:extLst>
        </xdr:cNvPr>
        <xdr:cNvSpPr txBox="1">
          <a:spLocks noChangeArrowheads="1"/>
        </xdr:cNvSpPr>
      </xdr:nvSpPr>
      <xdr:spPr bwMode="auto">
        <a:xfrm>
          <a:off x="9555480" y="1197406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704</xdr:row>
      <xdr:rowOff>0</xdr:rowOff>
    </xdr:from>
    <xdr:ext cx="104775" cy="210011"/>
    <xdr:sp macro="" textlink="">
      <xdr:nvSpPr>
        <xdr:cNvPr id="267" name="Text Box 249">
          <a:extLst>
            <a:ext uri="{FF2B5EF4-FFF2-40B4-BE49-F238E27FC236}">
              <a16:creationId xmlns:a16="http://schemas.microsoft.com/office/drawing/2014/main" id="{E0CEDC7E-74CB-490F-AF5C-F7A9940A6A1A}"/>
            </a:ext>
          </a:extLst>
        </xdr:cNvPr>
        <xdr:cNvSpPr txBox="1">
          <a:spLocks noChangeArrowheads="1"/>
        </xdr:cNvSpPr>
      </xdr:nvSpPr>
      <xdr:spPr bwMode="auto">
        <a:xfrm>
          <a:off x="9558020" y="1197406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705</xdr:row>
      <xdr:rowOff>0</xdr:rowOff>
    </xdr:from>
    <xdr:ext cx="117326" cy="218324"/>
    <xdr:sp macro="" textlink="">
      <xdr:nvSpPr>
        <xdr:cNvPr id="268" name="Text Box 249">
          <a:extLst>
            <a:ext uri="{FF2B5EF4-FFF2-40B4-BE49-F238E27FC236}">
              <a16:creationId xmlns:a16="http://schemas.microsoft.com/office/drawing/2014/main" id="{22D864AA-E13A-46B8-B4F8-E0AC7C0656CB}"/>
            </a:ext>
          </a:extLst>
        </xdr:cNvPr>
        <xdr:cNvSpPr txBox="1">
          <a:spLocks noChangeArrowheads="1"/>
        </xdr:cNvSpPr>
      </xdr:nvSpPr>
      <xdr:spPr bwMode="auto">
        <a:xfrm>
          <a:off x="9558020" y="1199083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69" name="Text Box 249">
          <a:extLst>
            <a:ext uri="{FF2B5EF4-FFF2-40B4-BE49-F238E27FC236}">
              <a16:creationId xmlns:a16="http://schemas.microsoft.com/office/drawing/2014/main" id="{38144953-95FA-4446-AE42-EDE2B28D475C}"/>
            </a:ext>
          </a:extLst>
        </xdr:cNvPr>
        <xdr:cNvSpPr txBox="1">
          <a:spLocks noChangeArrowheads="1"/>
        </xdr:cNvSpPr>
      </xdr:nvSpPr>
      <xdr:spPr bwMode="auto">
        <a:xfrm>
          <a:off x="9555480" y="1199083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70" name="Text Box 249">
          <a:extLst>
            <a:ext uri="{FF2B5EF4-FFF2-40B4-BE49-F238E27FC236}">
              <a16:creationId xmlns:a16="http://schemas.microsoft.com/office/drawing/2014/main" id="{7EE221E5-7509-4DFA-BDA4-7F276E445921}"/>
            </a:ext>
          </a:extLst>
        </xdr:cNvPr>
        <xdr:cNvSpPr txBox="1">
          <a:spLocks noChangeArrowheads="1"/>
        </xdr:cNvSpPr>
      </xdr:nvSpPr>
      <xdr:spPr bwMode="auto">
        <a:xfrm>
          <a:off x="9555480" y="1199083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71" name="Text Box 249">
          <a:extLst>
            <a:ext uri="{FF2B5EF4-FFF2-40B4-BE49-F238E27FC236}">
              <a16:creationId xmlns:a16="http://schemas.microsoft.com/office/drawing/2014/main" id="{911F668A-08C9-4BA7-A456-7BDD20D04A0D}"/>
            </a:ext>
          </a:extLst>
        </xdr:cNvPr>
        <xdr:cNvSpPr txBox="1">
          <a:spLocks noChangeArrowheads="1"/>
        </xdr:cNvSpPr>
      </xdr:nvSpPr>
      <xdr:spPr bwMode="auto">
        <a:xfrm>
          <a:off x="9555480" y="1199083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72" name="Text Box 249">
          <a:extLst>
            <a:ext uri="{FF2B5EF4-FFF2-40B4-BE49-F238E27FC236}">
              <a16:creationId xmlns:a16="http://schemas.microsoft.com/office/drawing/2014/main" id="{4925536F-9543-493A-961F-2176F7872657}"/>
            </a:ext>
          </a:extLst>
        </xdr:cNvPr>
        <xdr:cNvSpPr txBox="1">
          <a:spLocks noChangeArrowheads="1"/>
        </xdr:cNvSpPr>
      </xdr:nvSpPr>
      <xdr:spPr bwMode="auto">
        <a:xfrm>
          <a:off x="9555480" y="1199083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73" name="Text Box 249">
          <a:extLst>
            <a:ext uri="{FF2B5EF4-FFF2-40B4-BE49-F238E27FC236}">
              <a16:creationId xmlns:a16="http://schemas.microsoft.com/office/drawing/2014/main" id="{49BB9EB9-4A36-4F22-B2A5-354BC411F51F}"/>
            </a:ext>
          </a:extLst>
        </xdr:cNvPr>
        <xdr:cNvSpPr txBox="1">
          <a:spLocks noChangeArrowheads="1"/>
        </xdr:cNvSpPr>
      </xdr:nvSpPr>
      <xdr:spPr bwMode="auto">
        <a:xfrm>
          <a:off x="9555480" y="1199083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705</xdr:row>
      <xdr:rowOff>0</xdr:rowOff>
    </xdr:from>
    <xdr:ext cx="104775" cy="208801"/>
    <xdr:sp macro="" textlink="">
      <xdr:nvSpPr>
        <xdr:cNvPr id="274" name="Text Box 249">
          <a:extLst>
            <a:ext uri="{FF2B5EF4-FFF2-40B4-BE49-F238E27FC236}">
              <a16:creationId xmlns:a16="http://schemas.microsoft.com/office/drawing/2014/main" id="{BF35448D-8F5B-407D-8A5D-05463653C4F1}"/>
            </a:ext>
          </a:extLst>
        </xdr:cNvPr>
        <xdr:cNvSpPr txBox="1">
          <a:spLocks noChangeArrowheads="1"/>
        </xdr:cNvSpPr>
      </xdr:nvSpPr>
      <xdr:spPr bwMode="auto">
        <a:xfrm>
          <a:off x="9555480" y="1199083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705</xdr:row>
      <xdr:rowOff>0</xdr:rowOff>
    </xdr:from>
    <xdr:ext cx="104775" cy="210011"/>
    <xdr:sp macro="" textlink="">
      <xdr:nvSpPr>
        <xdr:cNvPr id="275" name="Text Box 249">
          <a:extLst>
            <a:ext uri="{FF2B5EF4-FFF2-40B4-BE49-F238E27FC236}">
              <a16:creationId xmlns:a16="http://schemas.microsoft.com/office/drawing/2014/main" id="{201DAD0D-7D9C-40F2-8920-40DD8E0B018B}"/>
            </a:ext>
          </a:extLst>
        </xdr:cNvPr>
        <xdr:cNvSpPr txBox="1">
          <a:spLocks noChangeArrowheads="1"/>
        </xdr:cNvSpPr>
      </xdr:nvSpPr>
      <xdr:spPr bwMode="auto">
        <a:xfrm>
          <a:off x="9558020" y="1199083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276" name="Text Box 249">
          <a:extLst>
            <a:ext uri="{FF2B5EF4-FFF2-40B4-BE49-F238E27FC236}">
              <a16:creationId xmlns:a16="http://schemas.microsoft.com/office/drawing/2014/main" id="{B02F5261-E5F2-4939-A1E8-0DA501A5945F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77" name="Text Box 249">
          <a:extLst>
            <a:ext uri="{FF2B5EF4-FFF2-40B4-BE49-F238E27FC236}">
              <a16:creationId xmlns:a16="http://schemas.microsoft.com/office/drawing/2014/main" id="{3011FBFF-99C3-4C9B-A801-DE62106689D8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78" name="Text Box 249">
          <a:extLst>
            <a:ext uri="{FF2B5EF4-FFF2-40B4-BE49-F238E27FC236}">
              <a16:creationId xmlns:a16="http://schemas.microsoft.com/office/drawing/2014/main" id="{351CBF28-77A2-4296-B3BE-D07FCF297330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79" name="Text Box 249">
          <a:extLst>
            <a:ext uri="{FF2B5EF4-FFF2-40B4-BE49-F238E27FC236}">
              <a16:creationId xmlns:a16="http://schemas.microsoft.com/office/drawing/2014/main" id="{1CF02702-16C2-4A33-894A-D70FDEEF7505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0" name="Text Box 249">
          <a:extLst>
            <a:ext uri="{FF2B5EF4-FFF2-40B4-BE49-F238E27FC236}">
              <a16:creationId xmlns:a16="http://schemas.microsoft.com/office/drawing/2014/main" id="{B78B9F13-D0F3-4059-A0AC-FE8A958339F3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1" name="Text Box 249">
          <a:extLst>
            <a:ext uri="{FF2B5EF4-FFF2-40B4-BE49-F238E27FC236}">
              <a16:creationId xmlns:a16="http://schemas.microsoft.com/office/drawing/2014/main" id="{A6C5B566-003F-4D64-8D57-7427FE42A43E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2" name="Text Box 249">
          <a:extLst>
            <a:ext uri="{FF2B5EF4-FFF2-40B4-BE49-F238E27FC236}">
              <a16:creationId xmlns:a16="http://schemas.microsoft.com/office/drawing/2014/main" id="{7E110657-A16D-4116-93EC-B7348D948D98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283" name="Text Box 249">
          <a:extLst>
            <a:ext uri="{FF2B5EF4-FFF2-40B4-BE49-F238E27FC236}">
              <a16:creationId xmlns:a16="http://schemas.microsoft.com/office/drawing/2014/main" id="{9E20D1EE-2F9F-46E9-95AE-48DAA6B7D72D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284" name="Text Box 249">
          <a:extLst>
            <a:ext uri="{FF2B5EF4-FFF2-40B4-BE49-F238E27FC236}">
              <a16:creationId xmlns:a16="http://schemas.microsoft.com/office/drawing/2014/main" id="{A791665D-00AA-45DE-B813-127D677EC6DE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5" name="Text Box 249">
          <a:extLst>
            <a:ext uri="{FF2B5EF4-FFF2-40B4-BE49-F238E27FC236}">
              <a16:creationId xmlns:a16="http://schemas.microsoft.com/office/drawing/2014/main" id="{34B7A075-E7D1-42ED-9B1F-58328A803039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6" name="Text Box 249">
          <a:extLst>
            <a:ext uri="{FF2B5EF4-FFF2-40B4-BE49-F238E27FC236}">
              <a16:creationId xmlns:a16="http://schemas.microsoft.com/office/drawing/2014/main" id="{30D25B85-8D2E-42F0-80F8-6128C5F066A4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7" name="Text Box 249">
          <a:extLst>
            <a:ext uri="{FF2B5EF4-FFF2-40B4-BE49-F238E27FC236}">
              <a16:creationId xmlns:a16="http://schemas.microsoft.com/office/drawing/2014/main" id="{6F7A42CC-28E4-4623-B71D-7BA48A9E1197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8" name="Text Box 249">
          <a:extLst>
            <a:ext uri="{FF2B5EF4-FFF2-40B4-BE49-F238E27FC236}">
              <a16:creationId xmlns:a16="http://schemas.microsoft.com/office/drawing/2014/main" id="{2FD13B2C-FCA5-43C3-A193-2B71FFCEFC9A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89" name="Text Box 249">
          <a:extLst>
            <a:ext uri="{FF2B5EF4-FFF2-40B4-BE49-F238E27FC236}">
              <a16:creationId xmlns:a16="http://schemas.microsoft.com/office/drawing/2014/main" id="{AFDD4A3C-94DF-4B48-A182-18AB2468C3F5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0" name="Text Box 249">
          <a:extLst>
            <a:ext uri="{FF2B5EF4-FFF2-40B4-BE49-F238E27FC236}">
              <a16:creationId xmlns:a16="http://schemas.microsoft.com/office/drawing/2014/main" id="{44A38B13-E344-490B-ABC4-D5C4DEB7F4AA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291" name="Text Box 249">
          <a:extLst>
            <a:ext uri="{FF2B5EF4-FFF2-40B4-BE49-F238E27FC236}">
              <a16:creationId xmlns:a16="http://schemas.microsoft.com/office/drawing/2014/main" id="{EB8EDD3E-66ED-4181-BC27-0F346BE98763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292" name="Text Box 249">
          <a:extLst>
            <a:ext uri="{FF2B5EF4-FFF2-40B4-BE49-F238E27FC236}">
              <a16:creationId xmlns:a16="http://schemas.microsoft.com/office/drawing/2014/main" id="{7FDD7A02-9E7F-4E91-8832-6BB2A55F0675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3" name="Text Box 249">
          <a:extLst>
            <a:ext uri="{FF2B5EF4-FFF2-40B4-BE49-F238E27FC236}">
              <a16:creationId xmlns:a16="http://schemas.microsoft.com/office/drawing/2014/main" id="{EFDD02F1-D0B5-4E45-A51C-269361B060C7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4" name="Text Box 249">
          <a:extLst>
            <a:ext uri="{FF2B5EF4-FFF2-40B4-BE49-F238E27FC236}">
              <a16:creationId xmlns:a16="http://schemas.microsoft.com/office/drawing/2014/main" id="{52C06E35-AB18-4816-8B06-233D2CABCB63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5" name="Text Box 249">
          <a:extLst>
            <a:ext uri="{FF2B5EF4-FFF2-40B4-BE49-F238E27FC236}">
              <a16:creationId xmlns:a16="http://schemas.microsoft.com/office/drawing/2014/main" id="{5A9DD2BF-8FD5-4FAF-8A58-0988F3FAAB34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6" name="Text Box 249">
          <a:extLst>
            <a:ext uri="{FF2B5EF4-FFF2-40B4-BE49-F238E27FC236}">
              <a16:creationId xmlns:a16="http://schemas.microsoft.com/office/drawing/2014/main" id="{3410D00D-D604-40BB-8130-BB3BE3D8052D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7" name="Text Box 249">
          <a:extLst>
            <a:ext uri="{FF2B5EF4-FFF2-40B4-BE49-F238E27FC236}">
              <a16:creationId xmlns:a16="http://schemas.microsoft.com/office/drawing/2014/main" id="{E97681F9-44CA-40B7-8A00-74A83BA2D86D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298" name="Text Box 249">
          <a:extLst>
            <a:ext uri="{FF2B5EF4-FFF2-40B4-BE49-F238E27FC236}">
              <a16:creationId xmlns:a16="http://schemas.microsoft.com/office/drawing/2014/main" id="{E7422842-041E-4396-9D0D-2D198C16B651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299" name="Text Box 249">
          <a:extLst>
            <a:ext uri="{FF2B5EF4-FFF2-40B4-BE49-F238E27FC236}">
              <a16:creationId xmlns:a16="http://schemas.microsoft.com/office/drawing/2014/main" id="{722ED509-217D-4A8F-BA53-7A9DCFB87980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300" name="Text Box 249">
          <a:extLst>
            <a:ext uri="{FF2B5EF4-FFF2-40B4-BE49-F238E27FC236}">
              <a16:creationId xmlns:a16="http://schemas.microsoft.com/office/drawing/2014/main" id="{94996ADB-646C-4F4E-8BBB-FE21CFCB0F0C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1" name="Text Box 249">
          <a:extLst>
            <a:ext uri="{FF2B5EF4-FFF2-40B4-BE49-F238E27FC236}">
              <a16:creationId xmlns:a16="http://schemas.microsoft.com/office/drawing/2014/main" id="{C2B8F38A-DA02-41B5-9277-2E941D66A422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2" name="Text Box 249">
          <a:extLst>
            <a:ext uri="{FF2B5EF4-FFF2-40B4-BE49-F238E27FC236}">
              <a16:creationId xmlns:a16="http://schemas.microsoft.com/office/drawing/2014/main" id="{F23B23C8-63AB-4FF4-A58B-EE4008B4FB28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3" name="Text Box 249">
          <a:extLst>
            <a:ext uri="{FF2B5EF4-FFF2-40B4-BE49-F238E27FC236}">
              <a16:creationId xmlns:a16="http://schemas.microsoft.com/office/drawing/2014/main" id="{73F8F6E0-C015-4878-9913-A2B5C871EC26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4" name="Text Box 249">
          <a:extLst>
            <a:ext uri="{FF2B5EF4-FFF2-40B4-BE49-F238E27FC236}">
              <a16:creationId xmlns:a16="http://schemas.microsoft.com/office/drawing/2014/main" id="{33A413AE-99CB-4F73-82DA-1158FE9D9F8E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5" name="Text Box 249">
          <a:extLst>
            <a:ext uri="{FF2B5EF4-FFF2-40B4-BE49-F238E27FC236}">
              <a16:creationId xmlns:a16="http://schemas.microsoft.com/office/drawing/2014/main" id="{842BD052-5B85-40E5-AB2A-B71F902EEE7C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06" name="Text Box 249">
          <a:extLst>
            <a:ext uri="{FF2B5EF4-FFF2-40B4-BE49-F238E27FC236}">
              <a16:creationId xmlns:a16="http://schemas.microsoft.com/office/drawing/2014/main" id="{D9A12DF0-0B91-4AED-95CF-9B5EA8180477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307" name="Text Box 249">
          <a:extLst>
            <a:ext uri="{FF2B5EF4-FFF2-40B4-BE49-F238E27FC236}">
              <a16:creationId xmlns:a16="http://schemas.microsoft.com/office/drawing/2014/main" id="{A6183180-5349-427A-95B0-10D2517C5464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08" name="Text Box 249">
          <a:extLst>
            <a:ext uri="{FF2B5EF4-FFF2-40B4-BE49-F238E27FC236}">
              <a16:creationId xmlns:a16="http://schemas.microsoft.com/office/drawing/2014/main" id="{B628FDAD-846A-4A64-B6D3-822DC8C7D5B7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09" name="Text Box 249">
          <a:extLst>
            <a:ext uri="{FF2B5EF4-FFF2-40B4-BE49-F238E27FC236}">
              <a16:creationId xmlns:a16="http://schemas.microsoft.com/office/drawing/2014/main" id="{5AAEE5A7-17AB-48DA-8746-76F9760C508B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0" name="Text Box 249">
          <a:extLst>
            <a:ext uri="{FF2B5EF4-FFF2-40B4-BE49-F238E27FC236}">
              <a16:creationId xmlns:a16="http://schemas.microsoft.com/office/drawing/2014/main" id="{A11EFECA-A9EA-471B-829B-450EC315854B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1" name="Text Box 249">
          <a:extLst>
            <a:ext uri="{FF2B5EF4-FFF2-40B4-BE49-F238E27FC236}">
              <a16:creationId xmlns:a16="http://schemas.microsoft.com/office/drawing/2014/main" id="{F0939D84-D326-4966-ACD4-D89E80269CF3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2" name="Text Box 249">
          <a:extLst>
            <a:ext uri="{FF2B5EF4-FFF2-40B4-BE49-F238E27FC236}">
              <a16:creationId xmlns:a16="http://schemas.microsoft.com/office/drawing/2014/main" id="{5D474D8F-7E44-497F-9590-53A6DAF0BE96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3" name="Text Box 249">
          <a:extLst>
            <a:ext uri="{FF2B5EF4-FFF2-40B4-BE49-F238E27FC236}">
              <a16:creationId xmlns:a16="http://schemas.microsoft.com/office/drawing/2014/main" id="{9A52BB9F-2B6E-4EB5-B1A2-2E10E061BB31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4" name="Text Box 249">
          <a:extLst>
            <a:ext uri="{FF2B5EF4-FFF2-40B4-BE49-F238E27FC236}">
              <a16:creationId xmlns:a16="http://schemas.microsoft.com/office/drawing/2014/main" id="{BD66DE07-A87D-46D3-A215-E8A4A4BD1318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15" name="Text Box 249">
          <a:extLst>
            <a:ext uri="{FF2B5EF4-FFF2-40B4-BE49-F238E27FC236}">
              <a16:creationId xmlns:a16="http://schemas.microsoft.com/office/drawing/2014/main" id="{1E2F6A8B-74A8-4994-89EE-7C5061275B31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16" name="Text Box 249">
          <a:extLst>
            <a:ext uri="{FF2B5EF4-FFF2-40B4-BE49-F238E27FC236}">
              <a16:creationId xmlns:a16="http://schemas.microsoft.com/office/drawing/2014/main" id="{7188956F-F278-45BB-A68E-2552DCFA2F73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7" name="Text Box 249">
          <a:extLst>
            <a:ext uri="{FF2B5EF4-FFF2-40B4-BE49-F238E27FC236}">
              <a16:creationId xmlns:a16="http://schemas.microsoft.com/office/drawing/2014/main" id="{0D9E8BAB-1878-4FD2-880B-A4E8021A1BC0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8" name="Text Box 249">
          <a:extLst>
            <a:ext uri="{FF2B5EF4-FFF2-40B4-BE49-F238E27FC236}">
              <a16:creationId xmlns:a16="http://schemas.microsoft.com/office/drawing/2014/main" id="{1B3DF82F-704B-4DA6-8A7E-F822029F0491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19" name="Text Box 249">
          <a:extLst>
            <a:ext uri="{FF2B5EF4-FFF2-40B4-BE49-F238E27FC236}">
              <a16:creationId xmlns:a16="http://schemas.microsoft.com/office/drawing/2014/main" id="{6234A4BB-E3D3-4224-A064-4AEFB61F8BBC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20" name="Text Box 249">
          <a:extLst>
            <a:ext uri="{FF2B5EF4-FFF2-40B4-BE49-F238E27FC236}">
              <a16:creationId xmlns:a16="http://schemas.microsoft.com/office/drawing/2014/main" id="{59FB87D7-DBC5-4C24-981C-B09049C331CB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21" name="Text Box 249">
          <a:extLst>
            <a:ext uri="{FF2B5EF4-FFF2-40B4-BE49-F238E27FC236}">
              <a16:creationId xmlns:a16="http://schemas.microsoft.com/office/drawing/2014/main" id="{5132327A-CEF6-46ED-B4C3-0BF3EB7129A8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22" name="Text Box 249">
          <a:extLst>
            <a:ext uri="{FF2B5EF4-FFF2-40B4-BE49-F238E27FC236}">
              <a16:creationId xmlns:a16="http://schemas.microsoft.com/office/drawing/2014/main" id="{932F6D57-C0F7-4B44-A847-3070EE96E1F1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23" name="Text Box 249">
          <a:extLst>
            <a:ext uri="{FF2B5EF4-FFF2-40B4-BE49-F238E27FC236}">
              <a16:creationId xmlns:a16="http://schemas.microsoft.com/office/drawing/2014/main" id="{24803C8B-6110-4B0C-889C-6A69A222A32F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324" name="Text Box 249">
          <a:extLst>
            <a:ext uri="{FF2B5EF4-FFF2-40B4-BE49-F238E27FC236}">
              <a16:creationId xmlns:a16="http://schemas.microsoft.com/office/drawing/2014/main" id="{494506D0-99E3-4737-BC50-E585F3640DD5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25" name="Text Box 249">
          <a:extLst>
            <a:ext uri="{FF2B5EF4-FFF2-40B4-BE49-F238E27FC236}">
              <a16:creationId xmlns:a16="http://schemas.microsoft.com/office/drawing/2014/main" id="{8B347609-F7AA-426B-ABE5-FE0E047B0640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26" name="Text Box 249">
          <a:extLst>
            <a:ext uri="{FF2B5EF4-FFF2-40B4-BE49-F238E27FC236}">
              <a16:creationId xmlns:a16="http://schemas.microsoft.com/office/drawing/2014/main" id="{9878CEB9-FC17-4796-A85C-DD5080190C1D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27" name="Text Box 249">
          <a:extLst>
            <a:ext uri="{FF2B5EF4-FFF2-40B4-BE49-F238E27FC236}">
              <a16:creationId xmlns:a16="http://schemas.microsoft.com/office/drawing/2014/main" id="{3C6AE89C-02E4-485C-84D5-FE3E995BB564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28" name="Text Box 249">
          <a:extLst>
            <a:ext uri="{FF2B5EF4-FFF2-40B4-BE49-F238E27FC236}">
              <a16:creationId xmlns:a16="http://schemas.microsoft.com/office/drawing/2014/main" id="{2B71E897-4CB4-4EB6-837A-DEAA8F24C85B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29" name="Text Box 249">
          <a:extLst>
            <a:ext uri="{FF2B5EF4-FFF2-40B4-BE49-F238E27FC236}">
              <a16:creationId xmlns:a16="http://schemas.microsoft.com/office/drawing/2014/main" id="{BD0E1974-0F4B-436A-86A5-08574331B158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0" name="Text Box 249">
          <a:extLst>
            <a:ext uri="{FF2B5EF4-FFF2-40B4-BE49-F238E27FC236}">
              <a16:creationId xmlns:a16="http://schemas.microsoft.com/office/drawing/2014/main" id="{7F7C5963-E442-4B4B-8280-73D3FE9392EE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331" name="Text Box 249">
          <a:extLst>
            <a:ext uri="{FF2B5EF4-FFF2-40B4-BE49-F238E27FC236}">
              <a16:creationId xmlns:a16="http://schemas.microsoft.com/office/drawing/2014/main" id="{6C3A8B1C-4492-4A92-9AA9-CB8778D951E1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332" name="Text Box 249">
          <a:extLst>
            <a:ext uri="{FF2B5EF4-FFF2-40B4-BE49-F238E27FC236}">
              <a16:creationId xmlns:a16="http://schemas.microsoft.com/office/drawing/2014/main" id="{6298F430-CAD5-4525-81CC-E6E02A946861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3" name="Text Box 249">
          <a:extLst>
            <a:ext uri="{FF2B5EF4-FFF2-40B4-BE49-F238E27FC236}">
              <a16:creationId xmlns:a16="http://schemas.microsoft.com/office/drawing/2014/main" id="{E42E4E70-C37A-4647-A38B-C16A38385A94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4" name="Text Box 249">
          <a:extLst>
            <a:ext uri="{FF2B5EF4-FFF2-40B4-BE49-F238E27FC236}">
              <a16:creationId xmlns:a16="http://schemas.microsoft.com/office/drawing/2014/main" id="{BD0055BC-6764-4BF9-8E41-3590ADF8DCE5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5" name="Text Box 249">
          <a:extLst>
            <a:ext uri="{FF2B5EF4-FFF2-40B4-BE49-F238E27FC236}">
              <a16:creationId xmlns:a16="http://schemas.microsoft.com/office/drawing/2014/main" id="{B389101C-7CE0-4CA3-91D9-6E064A66945C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6" name="Text Box 249">
          <a:extLst>
            <a:ext uri="{FF2B5EF4-FFF2-40B4-BE49-F238E27FC236}">
              <a16:creationId xmlns:a16="http://schemas.microsoft.com/office/drawing/2014/main" id="{A0438F0D-D13D-4BB0-A6FA-6342FEB6F1C7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7" name="Text Box 249">
          <a:extLst>
            <a:ext uri="{FF2B5EF4-FFF2-40B4-BE49-F238E27FC236}">
              <a16:creationId xmlns:a16="http://schemas.microsoft.com/office/drawing/2014/main" id="{44A1DAEA-C68F-468E-B4FC-5AA3E87439E6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338" name="Text Box 249">
          <a:extLst>
            <a:ext uri="{FF2B5EF4-FFF2-40B4-BE49-F238E27FC236}">
              <a16:creationId xmlns:a16="http://schemas.microsoft.com/office/drawing/2014/main" id="{02BF16AC-61EE-4342-9D0C-67E0DB27606B}"/>
            </a:ext>
          </a:extLst>
        </xdr:cNvPr>
        <xdr:cNvSpPr txBox="1">
          <a:spLocks noChangeArrowheads="1"/>
        </xdr:cNvSpPr>
      </xdr:nvSpPr>
      <xdr:spPr bwMode="auto">
        <a:xfrm>
          <a:off x="9555480" y="8557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339" name="Text Box 249">
          <a:extLst>
            <a:ext uri="{FF2B5EF4-FFF2-40B4-BE49-F238E27FC236}">
              <a16:creationId xmlns:a16="http://schemas.microsoft.com/office/drawing/2014/main" id="{E7442000-4278-4EAD-93F1-5A24F0171642}"/>
            </a:ext>
          </a:extLst>
        </xdr:cNvPr>
        <xdr:cNvSpPr txBox="1">
          <a:spLocks noChangeArrowheads="1"/>
        </xdr:cNvSpPr>
      </xdr:nvSpPr>
      <xdr:spPr bwMode="auto">
        <a:xfrm>
          <a:off x="9558020" y="8557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40" name="Text Box 249">
          <a:extLst>
            <a:ext uri="{FF2B5EF4-FFF2-40B4-BE49-F238E27FC236}">
              <a16:creationId xmlns:a16="http://schemas.microsoft.com/office/drawing/2014/main" id="{3C466BDF-5A9B-45CB-A153-DF2BBCBBE569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1" name="Text Box 249">
          <a:extLst>
            <a:ext uri="{FF2B5EF4-FFF2-40B4-BE49-F238E27FC236}">
              <a16:creationId xmlns:a16="http://schemas.microsoft.com/office/drawing/2014/main" id="{8B94238D-115D-4A6D-9FA8-AA0E5F0E29E9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2" name="Text Box 249">
          <a:extLst>
            <a:ext uri="{FF2B5EF4-FFF2-40B4-BE49-F238E27FC236}">
              <a16:creationId xmlns:a16="http://schemas.microsoft.com/office/drawing/2014/main" id="{C4B9F910-D693-42C9-A766-04E3C9335741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3" name="Text Box 249">
          <a:extLst>
            <a:ext uri="{FF2B5EF4-FFF2-40B4-BE49-F238E27FC236}">
              <a16:creationId xmlns:a16="http://schemas.microsoft.com/office/drawing/2014/main" id="{DA9DB5FE-914D-42A6-80D3-859067C549E7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4" name="Text Box 249">
          <a:extLst>
            <a:ext uri="{FF2B5EF4-FFF2-40B4-BE49-F238E27FC236}">
              <a16:creationId xmlns:a16="http://schemas.microsoft.com/office/drawing/2014/main" id="{0145B79E-91D9-4633-91ED-BA359A81F87D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5" name="Text Box 249">
          <a:extLst>
            <a:ext uri="{FF2B5EF4-FFF2-40B4-BE49-F238E27FC236}">
              <a16:creationId xmlns:a16="http://schemas.microsoft.com/office/drawing/2014/main" id="{0DCD92D7-9453-4B19-B712-8343E1E26219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6" name="Text Box 249">
          <a:extLst>
            <a:ext uri="{FF2B5EF4-FFF2-40B4-BE49-F238E27FC236}">
              <a16:creationId xmlns:a16="http://schemas.microsoft.com/office/drawing/2014/main" id="{DDBE6109-9EC5-4A3A-A76D-3F2238CB7402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47" name="Text Box 249">
          <a:extLst>
            <a:ext uri="{FF2B5EF4-FFF2-40B4-BE49-F238E27FC236}">
              <a16:creationId xmlns:a16="http://schemas.microsoft.com/office/drawing/2014/main" id="{0C36329A-60B5-4971-A4C7-6F46C25FC5E6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48" name="Text Box 249">
          <a:extLst>
            <a:ext uri="{FF2B5EF4-FFF2-40B4-BE49-F238E27FC236}">
              <a16:creationId xmlns:a16="http://schemas.microsoft.com/office/drawing/2014/main" id="{63A43338-207C-4442-B545-1ED5BC92B7FC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49" name="Text Box 249">
          <a:extLst>
            <a:ext uri="{FF2B5EF4-FFF2-40B4-BE49-F238E27FC236}">
              <a16:creationId xmlns:a16="http://schemas.microsoft.com/office/drawing/2014/main" id="{A7880611-A1E2-490E-A10E-13C0B579BF5E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0" name="Text Box 249">
          <a:extLst>
            <a:ext uri="{FF2B5EF4-FFF2-40B4-BE49-F238E27FC236}">
              <a16:creationId xmlns:a16="http://schemas.microsoft.com/office/drawing/2014/main" id="{FD87E823-F91C-4556-A2C4-9121C0BF80F4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1" name="Text Box 249">
          <a:extLst>
            <a:ext uri="{FF2B5EF4-FFF2-40B4-BE49-F238E27FC236}">
              <a16:creationId xmlns:a16="http://schemas.microsoft.com/office/drawing/2014/main" id="{D89E36E0-0766-4C83-B3A0-13EA8EE6FB78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2" name="Text Box 249">
          <a:extLst>
            <a:ext uri="{FF2B5EF4-FFF2-40B4-BE49-F238E27FC236}">
              <a16:creationId xmlns:a16="http://schemas.microsoft.com/office/drawing/2014/main" id="{CB77E552-9A59-4832-9BA3-F57CFD55C3D3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3" name="Text Box 249">
          <a:extLst>
            <a:ext uri="{FF2B5EF4-FFF2-40B4-BE49-F238E27FC236}">
              <a16:creationId xmlns:a16="http://schemas.microsoft.com/office/drawing/2014/main" id="{5E16B07C-66B6-4C40-B61A-C8C0C4408A63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4" name="Text Box 249">
          <a:extLst>
            <a:ext uri="{FF2B5EF4-FFF2-40B4-BE49-F238E27FC236}">
              <a16:creationId xmlns:a16="http://schemas.microsoft.com/office/drawing/2014/main" id="{CA461991-0D88-4E71-9CA5-ABB538589C77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55" name="Text Box 249">
          <a:extLst>
            <a:ext uri="{FF2B5EF4-FFF2-40B4-BE49-F238E27FC236}">
              <a16:creationId xmlns:a16="http://schemas.microsoft.com/office/drawing/2014/main" id="{E805AF08-AA3D-4B51-B9CC-68D4FEC44D8E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56" name="Text Box 249">
          <a:extLst>
            <a:ext uri="{FF2B5EF4-FFF2-40B4-BE49-F238E27FC236}">
              <a16:creationId xmlns:a16="http://schemas.microsoft.com/office/drawing/2014/main" id="{6D5DD7EF-573C-4DB2-956F-30F0CFA21819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7" name="Text Box 249">
          <a:extLst>
            <a:ext uri="{FF2B5EF4-FFF2-40B4-BE49-F238E27FC236}">
              <a16:creationId xmlns:a16="http://schemas.microsoft.com/office/drawing/2014/main" id="{3FDB8265-FAE9-41B1-9EFC-3B8C5A6140E4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8" name="Text Box 249">
          <a:extLst>
            <a:ext uri="{FF2B5EF4-FFF2-40B4-BE49-F238E27FC236}">
              <a16:creationId xmlns:a16="http://schemas.microsoft.com/office/drawing/2014/main" id="{4056C314-D03E-45D8-9222-B38A262A1AC9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59" name="Text Box 249">
          <a:extLst>
            <a:ext uri="{FF2B5EF4-FFF2-40B4-BE49-F238E27FC236}">
              <a16:creationId xmlns:a16="http://schemas.microsoft.com/office/drawing/2014/main" id="{E0C01B5B-8883-46A0-9F0D-CC47BCDE1974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0" name="Text Box 249">
          <a:extLst>
            <a:ext uri="{FF2B5EF4-FFF2-40B4-BE49-F238E27FC236}">
              <a16:creationId xmlns:a16="http://schemas.microsoft.com/office/drawing/2014/main" id="{41EBDCB9-74EA-4A31-881D-D95A1F81421F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1" name="Text Box 249">
          <a:extLst>
            <a:ext uri="{FF2B5EF4-FFF2-40B4-BE49-F238E27FC236}">
              <a16:creationId xmlns:a16="http://schemas.microsoft.com/office/drawing/2014/main" id="{0C83ADA3-C505-4CC9-9571-DF2456E3CB30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2" name="Text Box 249">
          <a:extLst>
            <a:ext uri="{FF2B5EF4-FFF2-40B4-BE49-F238E27FC236}">
              <a16:creationId xmlns:a16="http://schemas.microsoft.com/office/drawing/2014/main" id="{C2F87EC0-BFB9-4C7F-AD96-4839BD5C4A73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63" name="Text Box 249">
          <a:extLst>
            <a:ext uri="{FF2B5EF4-FFF2-40B4-BE49-F238E27FC236}">
              <a16:creationId xmlns:a16="http://schemas.microsoft.com/office/drawing/2014/main" id="{83821426-68F6-487F-B00C-D78388E3FAFD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364" name="Text Box 249">
          <a:extLst>
            <a:ext uri="{FF2B5EF4-FFF2-40B4-BE49-F238E27FC236}">
              <a16:creationId xmlns:a16="http://schemas.microsoft.com/office/drawing/2014/main" id="{E9D56F27-0913-464E-A42E-9B4BBE2FCB87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5" name="Text Box 249">
          <a:extLst>
            <a:ext uri="{FF2B5EF4-FFF2-40B4-BE49-F238E27FC236}">
              <a16:creationId xmlns:a16="http://schemas.microsoft.com/office/drawing/2014/main" id="{D004C60A-B561-494E-B9AA-850EDA8478FB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6" name="Text Box 249">
          <a:extLst>
            <a:ext uri="{FF2B5EF4-FFF2-40B4-BE49-F238E27FC236}">
              <a16:creationId xmlns:a16="http://schemas.microsoft.com/office/drawing/2014/main" id="{CD49A47A-228B-48C9-B7B4-1653258D2CD6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7" name="Text Box 249">
          <a:extLst>
            <a:ext uri="{FF2B5EF4-FFF2-40B4-BE49-F238E27FC236}">
              <a16:creationId xmlns:a16="http://schemas.microsoft.com/office/drawing/2014/main" id="{5E15C336-DCDC-4C4C-A663-ADF56AD272DA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8" name="Text Box 249">
          <a:extLst>
            <a:ext uri="{FF2B5EF4-FFF2-40B4-BE49-F238E27FC236}">
              <a16:creationId xmlns:a16="http://schemas.microsoft.com/office/drawing/2014/main" id="{B99390F1-82A6-4B2F-AF59-56E65428367D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69" name="Text Box 249">
          <a:extLst>
            <a:ext uri="{FF2B5EF4-FFF2-40B4-BE49-F238E27FC236}">
              <a16:creationId xmlns:a16="http://schemas.microsoft.com/office/drawing/2014/main" id="{129E35B3-F7A3-45CC-9A24-160D617972D0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370" name="Text Box 249">
          <a:extLst>
            <a:ext uri="{FF2B5EF4-FFF2-40B4-BE49-F238E27FC236}">
              <a16:creationId xmlns:a16="http://schemas.microsoft.com/office/drawing/2014/main" id="{024AA73E-F7DA-417A-A0F0-40407E10B74B}"/>
            </a:ext>
          </a:extLst>
        </xdr:cNvPr>
        <xdr:cNvSpPr txBox="1">
          <a:spLocks noChangeArrowheads="1"/>
        </xdr:cNvSpPr>
      </xdr:nvSpPr>
      <xdr:spPr bwMode="auto">
        <a:xfrm>
          <a:off x="9555480" y="87249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371" name="Text Box 249">
          <a:extLst>
            <a:ext uri="{FF2B5EF4-FFF2-40B4-BE49-F238E27FC236}">
              <a16:creationId xmlns:a16="http://schemas.microsoft.com/office/drawing/2014/main" id="{323276C7-58C2-49A5-B465-F7BADAF2E5E8}"/>
            </a:ext>
          </a:extLst>
        </xdr:cNvPr>
        <xdr:cNvSpPr txBox="1">
          <a:spLocks noChangeArrowheads="1"/>
        </xdr:cNvSpPr>
      </xdr:nvSpPr>
      <xdr:spPr bwMode="auto">
        <a:xfrm>
          <a:off x="9558020" y="87249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708</xdr:row>
      <xdr:rowOff>0</xdr:rowOff>
    </xdr:from>
    <xdr:ext cx="117326" cy="218324"/>
    <xdr:sp macro="" textlink="">
      <xdr:nvSpPr>
        <xdr:cNvPr id="372" name="Text Box 249">
          <a:extLst>
            <a:ext uri="{FF2B5EF4-FFF2-40B4-BE49-F238E27FC236}">
              <a16:creationId xmlns:a16="http://schemas.microsoft.com/office/drawing/2014/main" id="{3709EFD5-B21D-4F3A-92C1-EB8CE60367A0}"/>
            </a:ext>
          </a:extLst>
        </xdr:cNvPr>
        <xdr:cNvSpPr txBox="1">
          <a:spLocks noChangeArrowheads="1"/>
        </xdr:cNvSpPr>
      </xdr:nvSpPr>
      <xdr:spPr bwMode="auto">
        <a:xfrm>
          <a:off x="9558020" y="1204112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73" name="Text Box 249">
          <a:extLst>
            <a:ext uri="{FF2B5EF4-FFF2-40B4-BE49-F238E27FC236}">
              <a16:creationId xmlns:a16="http://schemas.microsoft.com/office/drawing/2014/main" id="{2BF1A391-E247-4ED3-898D-8FC30D235101}"/>
            </a:ext>
          </a:extLst>
        </xdr:cNvPr>
        <xdr:cNvSpPr txBox="1">
          <a:spLocks noChangeArrowheads="1"/>
        </xdr:cNvSpPr>
      </xdr:nvSpPr>
      <xdr:spPr bwMode="auto">
        <a:xfrm>
          <a:off x="9555480" y="1204112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74" name="Text Box 249">
          <a:extLst>
            <a:ext uri="{FF2B5EF4-FFF2-40B4-BE49-F238E27FC236}">
              <a16:creationId xmlns:a16="http://schemas.microsoft.com/office/drawing/2014/main" id="{7222B25E-0167-4C8D-B3BA-ADBA82CCCDEA}"/>
            </a:ext>
          </a:extLst>
        </xdr:cNvPr>
        <xdr:cNvSpPr txBox="1">
          <a:spLocks noChangeArrowheads="1"/>
        </xdr:cNvSpPr>
      </xdr:nvSpPr>
      <xdr:spPr bwMode="auto">
        <a:xfrm>
          <a:off x="9555480" y="1204112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75" name="Text Box 249">
          <a:extLst>
            <a:ext uri="{FF2B5EF4-FFF2-40B4-BE49-F238E27FC236}">
              <a16:creationId xmlns:a16="http://schemas.microsoft.com/office/drawing/2014/main" id="{9B1387DC-35F8-472A-97E9-8E3417C7AE0A}"/>
            </a:ext>
          </a:extLst>
        </xdr:cNvPr>
        <xdr:cNvSpPr txBox="1">
          <a:spLocks noChangeArrowheads="1"/>
        </xdr:cNvSpPr>
      </xdr:nvSpPr>
      <xdr:spPr bwMode="auto">
        <a:xfrm>
          <a:off x="9555480" y="1204112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76" name="Text Box 249">
          <a:extLst>
            <a:ext uri="{FF2B5EF4-FFF2-40B4-BE49-F238E27FC236}">
              <a16:creationId xmlns:a16="http://schemas.microsoft.com/office/drawing/2014/main" id="{0994ACFC-C037-471E-B7F2-BA7ACEE3A91D}"/>
            </a:ext>
          </a:extLst>
        </xdr:cNvPr>
        <xdr:cNvSpPr txBox="1">
          <a:spLocks noChangeArrowheads="1"/>
        </xdr:cNvSpPr>
      </xdr:nvSpPr>
      <xdr:spPr bwMode="auto">
        <a:xfrm>
          <a:off x="9555480" y="1204112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77" name="Text Box 249">
          <a:extLst>
            <a:ext uri="{FF2B5EF4-FFF2-40B4-BE49-F238E27FC236}">
              <a16:creationId xmlns:a16="http://schemas.microsoft.com/office/drawing/2014/main" id="{860816FD-D44A-454B-A6AF-9A3165A1EDB3}"/>
            </a:ext>
          </a:extLst>
        </xdr:cNvPr>
        <xdr:cNvSpPr txBox="1">
          <a:spLocks noChangeArrowheads="1"/>
        </xdr:cNvSpPr>
      </xdr:nvSpPr>
      <xdr:spPr bwMode="auto">
        <a:xfrm>
          <a:off x="9555480" y="1204112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708</xdr:row>
      <xdr:rowOff>0</xdr:rowOff>
    </xdr:from>
    <xdr:ext cx="104775" cy="208801"/>
    <xdr:sp macro="" textlink="">
      <xdr:nvSpPr>
        <xdr:cNvPr id="378" name="Text Box 249">
          <a:extLst>
            <a:ext uri="{FF2B5EF4-FFF2-40B4-BE49-F238E27FC236}">
              <a16:creationId xmlns:a16="http://schemas.microsoft.com/office/drawing/2014/main" id="{E0F9C49C-443F-4202-AD3E-8222195E084F}"/>
            </a:ext>
          </a:extLst>
        </xdr:cNvPr>
        <xdr:cNvSpPr txBox="1">
          <a:spLocks noChangeArrowheads="1"/>
        </xdr:cNvSpPr>
      </xdr:nvSpPr>
      <xdr:spPr bwMode="auto">
        <a:xfrm>
          <a:off x="9555480" y="1204112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708</xdr:row>
      <xdr:rowOff>0</xdr:rowOff>
    </xdr:from>
    <xdr:ext cx="104775" cy="210011"/>
    <xdr:sp macro="" textlink="">
      <xdr:nvSpPr>
        <xdr:cNvPr id="379" name="Text Box 249">
          <a:extLst>
            <a:ext uri="{FF2B5EF4-FFF2-40B4-BE49-F238E27FC236}">
              <a16:creationId xmlns:a16="http://schemas.microsoft.com/office/drawing/2014/main" id="{EC195061-FC48-4BA9-841A-EE6DFE6318E8}"/>
            </a:ext>
          </a:extLst>
        </xdr:cNvPr>
        <xdr:cNvSpPr txBox="1">
          <a:spLocks noChangeArrowheads="1"/>
        </xdr:cNvSpPr>
      </xdr:nvSpPr>
      <xdr:spPr bwMode="auto">
        <a:xfrm>
          <a:off x="9558020" y="1204112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709</xdr:row>
      <xdr:rowOff>0</xdr:rowOff>
    </xdr:from>
    <xdr:ext cx="117326" cy="218324"/>
    <xdr:sp macro="" textlink="">
      <xdr:nvSpPr>
        <xdr:cNvPr id="380" name="Text Box 249">
          <a:extLst>
            <a:ext uri="{FF2B5EF4-FFF2-40B4-BE49-F238E27FC236}">
              <a16:creationId xmlns:a16="http://schemas.microsoft.com/office/drawing/2014/main" id="{8912C85C-9F26-4DCD-A207-3360A97DBA49}"/>
            </a:ext>
          </a:extLst>
        </xdr:cNvPr>
        <xdr:cNvSpPr txBox="1">
          <a:spLocks noChangeArrowheads="1"/>
        </xdr:cNvSpPr>
      </xdr:nvSpPr>
      <xdr:spPr bwMode="auto">
        <a:xfrm>
          <a:off x="9558020" y="1205788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1" name="Text Box 249">
          <a:extLst>
            <a:ext uri="{FF2B5EF4-FFF2-40B4-BE49-F238E27FC236}">
              <a16:creationId xmlns:a16="http://schemas.microsoft.com/office/drawing/2014/main" id="{886597F3-41C7-4A77-B956-339D5CB9135B}"/>
            </a:ext>
          </a:extLst>
        </xdr:cNvPr>
        <xdr:cNvSpPr txBox="1">
          <a:spLocks noChangeArrowheads="1"/>
        </xdr:cNvSpPr>
      </xdr:nvSpPr>
      <xdr:spPr bwMode="auto">
        <a:xfrm>
          <a:off x="9555480" y="120578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2" name="Text Box 249">
          <a:extLst>
            <a:ext uri="{FF2B5EF4-FFF2-40B4-BE49-F238E27FC236}">
              <a16:creationId xmlns:a16="http://schemas.microsoft.com/office/drawing/2014/main" id="{24AED557-4EC0-4AED-8B8E-467C162780A4}"/>
            </a:ext>
          </a:extLst>
        </xdr:cNvPr>
        <xdr:cNvSpPr txBox="1">
          <a:spLocks noChangeArrowheads="1"/>
        </xdr:cNvSpPr>
      </xdr:nvSpPr>
      <xdr:spPr bwMode="auto">
        <a:xfrm>
          <a:off x="9555480" y="120578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3" name="Text Box 249">
          <a:extLst>
            <a:ext uri="{FF2B5EF4-FFF2-40B4-BE49-F238E27FC236}">
              <a16:creationId xmlns:a16="http://schemas.microsoft.com/office/drawing/2014/main" id="{079F4B0E-41B0-4582-AA66-368B908BD37C}"/>
            </a:ext>
          </a:extLst>
        </xdr:cNvPr>
        <xdr:cNvSpPr txBox="1">
          <a:spLocks noChangeArrowheads="1"/>
        </xdr:cNvSpPr>
      </xdr:nvSpPr>
      <xdr:spPr bwMode="auto">
        <a:xfrm>
          <a:off x="9555480" y="120578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4" name="Text Box 249">
          <a:extLst>
            <a:ext uri="{FF2B5EF4-FFF2-40B4-BE49-F238E27FC236}">
              <a16:creationId xmlns:a16="http://schemas.microsoft.com/office/drawing/2014/main" id="{874A1A04-8C35-468B-99EE-40375A77AABD}"/>
            </a:ext>
          </a:extLst>
        </xdr:cNvPr>
        <xdr:cNvSpPr txBox="1">
          <a:spLocks noChangeArrowheads="1"/>
        </xdr:cNvSpPr>
      </xdr:nvSpPr>
      <xdr:spPr bwMode="auto">
        <a:xfrm>
          <a:off x="9555480" y="120578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5" name="Text Box 249">
          <a:extLst>
            <a:ext uri="{FF2B5EF4-FFF2-40B4-BE49-F238E27FC236}">
              <a16:creationId xmlns:a16="http://schemas.microsoft.com/office/drawing/2014/main" id="{37D0C882-A5D0-4F1D-82C6-68DC593B38D6}"/>
            </a:ext>
          </a:extLst>
        </xdr:cNvPr>
        <xdr:cNvSpPr txBox="1">
          <a:spLocks noChangeArrowheads="1"/>
        </xdr:cNvSpPr>
      </xdr:nvSpPr>
      <xdr:spPr bwMode="auto">
        <a:xfrm>
          <a:off x="9555480" y="120578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709</xdr:row>
      <xdr:rowOff>0</xdr:rowOff>
    </xdr:from>
    <xdr:ext cx="104775" cy="208801"/>
    <xdr:sp macro="" textlink="">
      <xdr:nvSpPr>
        <xdr:cNvPr id="386" name="Text Box 249">
          <a:extLst>
            <a:ext uri="{FF2B5EF4-FFF2-40B4-BE49-F238E27FC236}">
              <a16:creationId xmlns:a16="http://schemas.microsoft.com/office/drawing/2014/main" id="{673CEBE1-2885-4988-BC13-6029C14A098C}"/>
            </a:ext>
          </a:extLst>
        </xdr:cNvPr>
        <xdr:cNvSpPr txBox="1">
          <a:spLocks noChangeArrowheads="1"/>
        </xdr:cNvSpPr>
      </xdr:nvSpPr>
      <xdr:spPr bwMode="auto">
        <a:xfrm>
          <a:off x="9555480" y="1205788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709</xdr:row>
      <xdr:rowOff>0</xdr:rowOff>
    </xdr:from>
    <xdr:ext cx="104775" cy="210011"/>
    <xdr:sp macro="" textlink="">
      <xdr:nvSpPr>
        <xdr:cNvPr id="387" name="Text Box 249">
          <a:extLst>
            <a:ext uri="{FF2B5EF4-FFF2-40B4-BE49-F238E27FC236}">
              <a16:creationId xmlns:a16="http://schemas.microsoft.com/office/drawing/2014/main" id="{E0D216A3-7432-4CDA-AA14-A1B85DDB3A8E}"/>
            </a:ext>
          </a:extLst>
        </xdr:cNvPr>
        <xdr:cNvSpPr txBox="1">
          <a:spLocks noChangeArrowheads="1"/>
        </xdr:cNvSpPr>
      </xdr:nvSpPr>
      <xdr:spPr bwMode="auto">
        <a:xfrm>
          <a:off x="9558020" y="1205788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710</xdr:row>
      <xdr:rowOff>0</xdr:rowOff>
    </xdr:from>
    <xdr:ext cx="117326" cy="218324"/>
    <xdr:sp macro="" textlink="">
      <xdr:nvSpPr>
        <xdr:cNvPr id="388" name="Text Box 249">
          <a:extLst>
            <a:ext uri="{FF2B5EF4-FFF2-40B4-BE49-F238E27FC236}">
              <a16:creationId xmlns:a16="http://schemas.microsoft.com/office/drawing/2014/main" id="{3FB8C13C-117E-4D40-8C5F-7F111B95623E}"/>
            </a:ext>
          </a:extLst>
        </xdr:cNvPr>
        <xdr:cNvSpPr txBox="1">
          <a:spLocks noChangeArrowheads="1"/>
        </xdr:cNvSpPr>
      </xdr:nvSpPr>
      <xdr:spPr bwMode="auto">
        <a:xfrm>
          <a:off x="9558020" y="1207465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89" name="Text Box 249">
          <a:extLst>
            <a:ext uri="{FF2B5EF4-FFF2-40B4-BE49-F238E27FC236}">
              <a16:creationId xmlns:a16="http://schemas.microsoft.com/office/drawing/2014/main" id="{9ABDA0A1-8E5F-42ED-AAB6-ACBFDA923802}"/>
            </a:ext>
          </a:extLst>
        </xdr:cNvPr>
        <xdr:cNvSpPr txBox="1">
          <a:spLocks noChangeArrowheads="1"/>
        </xdr:cNvSpPr>
      </xdr:nvSpPr>
      <xdr:spPr bwMode="auto">
        <a:xfrm>
          <a:off x="9555480" y="1207465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90" name="Text Box 249">
          <a:extLst>
            <a:ext uri="{FF2B5EF4-FFF2-40B4-BE49-F238E27FC236}">
              <a16:creationId xmlns:a16="http://schemas.microsoft.com/office/drawing/2014/main" id="{D73C89E6-9121-4469-88E6-E3583EB093CC}"/>
            </a:ext>
          </a:extLst>
        </xdr:cNvPr>
        <xdr:cNvSpPr txBox="1">
          <a:spLocks noChangeArrowheads="1"/>
        </xdr:cNvSpPr>
      </xdr:nvSpPr>
      <xdr:spPr bwMode="auto">
        <a:xfrm>
          <a:off x="9555480" y="1207465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91" name="Text Box 249">
          <a:extLst>
            <a:ext uri="{FF2B5EF4-FFF2-40B4-BE49-F238E27FC236}">
              <a16:creationId xmlns:a16="http://schemas.microsoft.com/office/drawing/2014/main" id="{4A97E84F-BFF2-4C8A-8CC4-A6EEFADD2FC4}"/>
            </a:ext>
          </a:extLst>
        </xdr:cNvPr>
        <xdr:cNvSpPr txBox="1">
          <a:spLocks noChangeArrowheads="1"/>
        </xdr:cNvSpPr>
      </xdr:nvSpPr>
      <xdr:spPr bwMode="auto">
        <a:xfrm>
          <a:off x="9555480" y="1207465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92" name="Text Box 249">
          <a:extLst>
            <a:ext uri="{FF2B5EF4-FFF2-40B4-BE49-F238E27FC236}">
              <a16:creationId xmlns:a16="http://schemas.microsoft.com/office/drawing/2014/main" id="{5032AFAF-CAFC-4A54-89B4-8DD057A8FAB8}"/>
            </a:ext>
          </a:extLst>
        </xdr:cNvPr>
        <xdr:cNvSpPr txBox="1">
          <a:spLocks noChangeArrowheads="1"/>
        </xdr:cNvSpPr>
      </xdr:nvSpPr>
      <xdr:spPr bwMode="auto">
        <a:xfrm>
          <a:off x="9555480" y="1207465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93" name="Text Box 249">
          <a:extLst>
            <a:ext uri="{FF2B5EF4-FFF2-40B4-BE49-F238E27FC236}">
              <a16:creationId xmlns:a16="http://schemas.microsoft.com/office/drawing/2014/main" id="{AE8BDEDE-8675-4A2A-9DE0-B32D522AF192}"/>
            </a:ext>
          </a:extLst>
        </xdr:cNvPr>
        <xdr:cNvSpPr txBox="1">
          <a:spLocks noChangeArrowheads="1"/>
        </xdr:cNvSpPr>
      </xdr:nvSpPr>
      <xdr:spPr bwMode="auto">
        <a:xfrm>
          <a:off x="9555480" y="1207465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710</xdr:row>
      <xdr:rowOff>0</xdr:rowOff>
    </xdr:from>
    <xdr:ext cx="104775" cy="208801"/>
    <xdr:sp macro="" textlink="">
      <xdr:nvSpPr>
        <xdr:cNvPr id="394" name="Text Box 249">
          <a:extLst>
            <a:ext uri="{FF2B5EF4-FFF2-40B4-BE49-F238E27FC236}">
              <a16:creationId xmlns:a16="http://schemas.microsoft.com/office/drawing/2014/main" id="{8E9CF815-B030-4E2D-A221-B00AEEFE6D50}"/>
            </a:ext>
          </a:extLst>
        </xdr:cNvPr>
        <xdr:cNvSpPr txBox="1">
          <a:spLocks noChangeArrowheads="1"/>
        </xdr:cNvSpPr>
      </xdr:nvSpPr>
      <xdr:spPr bwMode="auto">
        <a:xfrm>
          <a:off x="9555480" y="1207465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710</xdr:row>
      <xdr:rowOff>0</xdr:rowOff>
    </xdr:from>
    <xdr:ext cx="104775" cy="210011"/>
    <xdr:sp macro="" textlink="">
      <xdr:nvSpPr>
        <xdr:cNvPr id="395" name="Text Box 249">
          <a:extLst>
            <a:ext uri="{FF2B5EF4-FFF2-40B4-BE49-F238E27FC236}">
              <a16:creationId xmlns:a16="http://schemas.microsoft.com/office/drawing/2014/main" id="{A99B31BC-7B1A-40DE-B5C7-D6D858EC9CD5}"/>
            </a:ext>
          </a:extLst>
        </xdr:cNvPr>
        <xdr:cNvSpPr txBox="1">
          <a:spLocks noChangeArrowheads="1"/>
        </xdr:cNvSpPr>
      </xdr:nvSpPr>
      <xdr:spPr bwMode="auto">
        <a:xfrm>
          <a:off x="9558020" y="1207465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651</xdr:row>
      <xdr:rowOff>0</xdr:rowOff>
    </xdr:from>
    <xdr:ext cx="117326" cy="218324"/>
    <xdr:sp macro="" textlink="">
      <xdr:nvSpPr>
        <xdr:cNvPr id="396" name="Text Box 249">
          <a:extLst>
            <a:ext uri="{FF2B5EF4-FFF2-40B4-BE49-F238E27FC236}">
              <a16:creationId xmlns:a16="http://schemas.microsoft.com/office/drawing/2014/main" id="{7D23F312-1A65-4415-9C9F-DDC095BA23A9}"/>
            </a:ext>
          </a:extLst>
        </xdr:cNvPr>
        <xdr:cNvSpPr txBox="1">
          <a:spLocks noChangeArrowheads="1"/>
        </xdr:cNvSpPr>
      </xdr:nvSpPr>
      <xdr:spPr bwMode="auto">
        <a:xfrm>
          <a:off x="9558020" y="1107871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397" name="Text Box 249">
          <a:extLst>
            <a:ext uri="{FF2B5EF4-FFF2-40B4-BE49-F238E27FC236}">
              <a16:creationId xmlns:a16="http://schemas.microsoft.com/office/drawing/2014/main" id="{2C255C29-531F-4070-AC7D-FEA7F79E29EA}"/>
            </a:ext>
          </a:extLst>
        </xdr:cNvPr>
        <xdr:cNvSpPr txBox="1">
          <a:spLocks noChangeArrowheads="1"/>
        </xdr:cNvSpPr>
      </xdr:nvSpPr>
      <xdr:spPr bwMode="auto">
        <a:xfrm>
          <a:off x="9555480" y="110787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398" name="Text Box 249">
          <a:extLst>
            <a:ext uri="{FF2B5EF4-FFF2-40B4-BE49-F238E27FC236}">
              <a16:creationId xmlns:a16="http://schemas.microsoft.com/office/drawing/2014/main" id="{400F6C03-AC55-4613-96F8-CA9DD41B6332}"/>
            </a:ext>
          </a:extLst>
        </xdr:cNvPr>
        <xdr:cNvSpPr txBox="1">
          <a:spLocks noChangeArrowheads="1"/>
        </xdr:cNvSpPr>
      </xdr:nvSpPr>
      <xdr:spPr bwMode="auto">
        <a:xfrm>
          <a:off x="9555480" y="110787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399" name="Text Box 249">
          <a:extLst>
            <a:ext uri="{FF2B5EF4-FFF2-40B4-BE49-F238E27FC236}">
              <a16:creationId xmlns:a16="http://schemas.microsoft.com/office/drawing/2014/main" id="{3C3429E9-358B-4F18-9D17-70F6CACC8BBE}"/>
            </a:ext>
          </a:extLst>
        </xdr:cNvPr>
        <xdr:cNvSpPr txBox="1">
          <a:spLocks noChangeArrowheads="1"/>
        </xdr:cNvSpPr>
      </xdr:nvSpPr>
      <xdr:spPr bwMode="auto">
        <a:xfrm>
          <a:off x="9555480" y="110787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400" name="Text Box 249">
          <a:extLst>
            <a:ext uri="{FF2B5EF4-FFF2-40B4-BE49-F238E27FC236}">
              <a16:creationId xmlns:a16="http://schemas.microsoft.com/office/drawing/2014/main" id="{2BFF2111-79B7-41B5-9663-E15A53172D23}"/>
            </a:ext>
          </a:extLst>
        </xdr:cNvPr>
        <xdr:cNvSpPr txBox="1">
          <a:spLocks noChangeArrowheads="1"/>
        </xdr:cNvSpPr>
      </xdr:nvSpPr>
      <xdr:spPr bwMode="auto">
        <a:xfrm>
          <a:off x="9555480" y="110787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401" name="Text Box 249">
          <a:extLst>
            <a:ext uri="{FF2B5EF4-FFF2-40B4-BE49-F238E27FC236}">
              <a16:creationId xmlns:a16="http://schemas.microsoft.com/office/drawing/2014/main" id="{9698FC3F-4C04-4FF4-A5AE-39FD0DF214A7}"/>
            </a:ext>
          </a:extLst>
        </xdr:cNvPr>
        <xdr:cNvSpPr txBox="1">
          <a:spLocks noChangeArrowheads="1"/>
        </xdr:cNvSpPr>
      </xdr:nvSpPr>
      <xdr:spPr bwMode="auto">
        <a:xfrm>
          <a:off x="9555480" y="110787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651</xdr:row>
      <xdr:rowOff>0</xdr:rowOff>
    </xdr:from>
    <xdr:ext cx="104775" cy="208801"/>
    <xdr:sp macro="" textlink="">
      <xdr:nvSpPr>
        <xdr:cNvPr id="402" name="Text Box 249">
          <a:extLst>
            <a:ext uri="{FF2B5EF4-FFF2-40B4-BE49-F238E27FC236}">
              <a16:creationId xmlns:a16="http://schemas.microsoft.com/office/drawing/2014/main" id="{2F1E962C-3379-4552-B069-C4C67F0888CA}"/>
            </a:ext>
          </a:extLst>
        </xdr:cNvPr>
        <xdr:cNvSpPr txBox="1">
          <a:spLocks noChangeArrowheads="1"/>
        </xdr:cNvSpPr>
      </xdr:nvSpPr>
      <xdr:spPr bwMode="auto">
        <a:xfrm>
          <a:off x="9555480" y="110787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651</xdr:row>
      <xdr:rowOff>0</xdr:rowOff>
    </xdr:from>
    <xdr:ext cx="104775" cy="210011"/>
    <xdr:sp macro="" textlink="">
      <xdr:nvSpPr>
        <xdr:cNvPr id="403" name="Text Box 249">
          <a:extLst>
            <a:ext uri="{FF2B5EF4-FFF2-40B4-BE49-F238E27FC236}">
              <a16:creationId xmlns:a16="http://schemas.microsoft.com/office/drawing/2014/main" id="{2A81793A-E260-4E56-B040-FCF52D2A2D01}"/>
            </a:ext>
          </a:extLst>
        </xdr:cNvPr>
        <xdr:cNvSpPr txBox="1">
          <a:spLocks noChangeArrowheads="1"/>
        </xdr:cNvSpPr>
      </xdr:nvSpPr>
      <xdr:spPr bwMode="auto">
        <a:xfrm>
          <a:off x="9558020" y="1107871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653</xdr:row>
      <xdr:rowOff>0</xdr:rowOff>
    </xdr:from>
    <xdr:ext cx="117326" cy="218324"/>
    <xdr:sp macro="" textlink="">
      <xdr:nvSpPr>
        <xdr:cNvPr id="404" name="Text Box 249">
          <a:extLst>
            <a:ext uri="{FF2B5EF4-FFF2-40B4-BE49-F238E27FC236}">
              <a16:creationId xmlns:a16="http://schemas.microsoft.com/office/drawing/2014/main" id="{A5BE00AD-9929-41C7-A413-DFB9F5F0F519}"/>
            </a:ext>
          </a:extLst>
        </xdr:cNvPr>
        <xdr:cNvSpPr txBox="1">
          <a:spLocks noChangeArrowheads="1"/>
        </xdr:cNvSpPr>
      </xdr:nvSpPr>
      <xdr:spPr bwMode="auto">
        <a:xfrm>
          <a:off x="9558020" y="1111224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05" name="Text Box 249">
          <a:extLst>
            <a:ext uri="{FF2B5EF4-FFF2-40B4-BE49-F238E27FC236}">
              <a16:creationId xmlns:a16="http://schemas.microsoft.com/office/drawing/2014/main" id="{993DD208-712C-4646-A976-3C55E61B2580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06" name="Text Box 249">
          <a:extLst>
            <a:ext uri="{FF2B5EF4-FFF2-40B4-BE49-F238E27FC236}">
              <a16:creationId xmlns:a16="http://schemas.microsoft.com/office/drawing/2014/main" id="{683B0C90-C0A2-4444-BF52-81F76AE1FD87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07" name="Text Box 249">
          <a:extLst>
            <a:ext uri="{FF2B5EF4-FFF2-40B4-BE49-F238E27FC236}">
              <a16:creationId xmlns:a16="http://schemas.microsoft.com/office/drawing/2014/main" id="{AB6C91C8-2AE5-42BC-821F-A18192DF6F15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08" name="Text Box 249">
          <a:extLst>
            <a:ext uri="{FF2B5EF4-FFF2-40B4-BE49-F238E27FC236}">
              <a16:creationId xmlns:a16="http://schemas.microsoft.com/office/drawing/2014/main" id="{4A90E526-AC97-442C-BE8D-91C27A508281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09" name="Text Box 249">
          <a:extLst>
            <a:ext uri="{FF2B5EF4-FFF2-40B4-BE49-F238E27FC236}">
              <a16:creationId xmlns:a16="http://schemas.microsoft.com/office/drawing/2014/main" id="{295D6CF5-530E-49FC-9686-495CE3243CA6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0" name="Text Box 249">
          <a:extLst>
            <a:ext uri="{FF2B5EF4-FFF2-40B4-BE49-F238E27FC236}">
              <a16:creationId xmlns:a16="http://schemas.microsoft.com/office/drawing/2014/main" id="{BC64B16A-6BDF-46EF-B912-3D3D0E46D704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653</xdr:row>
      <xdr:rowOff>0</xdr:rowOff>
    </xdr:from>
    <xdr:ext cx="104775" cy="210011"/>
    <xdr:sp macro="" textlink="">
      <xdr:nvSpPr>
        <xdr:cNvPr id="411" name="Text Box 249">
          <a:extLst>
            <a:ext uri="{FF2B5EF4-FFF2-40B4-BE49-F238E27FC236}">
              <a16:creationId xmlns:a16="http://schemas.microsoft.com/office/drawing/2014/main" id="{08304FA3-C249-4BF2-BB73-B844F33C5450}"/>
            </a:ext>
          </a:extLst>
        </xdr:cNvPr>
        <xdr:cNvSpPr txBox="1">
          <a:spLocks noChangeArrowheads="1"/>
        </xdr:cNvSpPr>
      </xdr:nvSpPr>
      <xdr:spPr bwMode="auto">
        <a:xfrm>
          <a:off x="9558020" y="1111224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653</xdr:row>
      <xdr:rowOff>0</xdr:rowOff>
    </xdr:from>
    <xdr:ext cx="117326" cy="218324"/>
    <xdr:sp macro="" textlink="">
      <xdr:nvSpPr>
        <xdr:cNvPr id="412" name="Text Box 249">
          <a:extLst>
            <a:ext uri="{FF2B5EF4-FFF2-40B4-BE49-F238E27FC236}">
              <a16:creationId xmlns:a16="http://schemas.microsoft.com/office/drawing/2014/main" id="{EDB8BBF7-761D-42F9-9235-9316C4C8E5FC}"/>
            </a:ext>
          </a:extLst>
        </xdr:cNvPr>
        <xdr:cNvSpPr txBox="1">
          <a:spLocks noChangeArrowheads="1"/>
        </xdr:cNvSpPr>
      </xdr:nvSpPr>
      <xdr:spPr bwMode="auto">
        <a:xfrm>
          <a:off x="9558020" y="1111224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3" name="Text Box 249">
          <a:extLst>
            <a:ext uri="{FF2B5EF4-FFF2-40B4-BE49-F238E27FC236}">
              <a16:creationId xmlns:a16="http://schemas.microsoft.com/office/drawing/2014/main" id="{58034C83-C21D-4355-A895-7D1A4EA4E601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4" name="Text Box 249">
          <a:extLst>
            <a:ext uri="{FF2B5EF4-FFF2-40B4-BE49-F238E27FC236}">
              <a16:creationId xmlns:a16="http://schemas.microsoft.com/office/drawing/2014/main" id="{5E8C951D-B439-440E-98E8-84A9EC183CE1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5" name="Text Box 249">
          <a:extLst>
            <a:ext uri="{FF2B5EF4-FFF2-40B4-BE49-F238E27FC236}">
              <a16:creationId xmlns:a16="http://schemas.microsoft.com/office/drawing/2014/main" id="{F4BA687D-CFE3-4D21-A5EE-311AE0F542A6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6" name="Text Box 249">
          <a:extLst>
            <a:ext uri="{FF2B5EF4-FFF2-40B4-BE49-F238E27FC236}">
              <a16:creationId xmlns:a16="http://schemas.microsoft.com/office/drawing/2014/main" id="{6ED4885C-1FF6-4502-A050-9FD39BAEE353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7" name="Text Box 249">
          <a:extLst>
            <a:ext uri="{FF2B5EF4-FFF2-40B4-BE49-F238E27FC236}">
              <a16:creationId xmlns:a16="http://schemas.microsoft.com/office/drawing/2014/main" id="{63017612-B1BE-4210-9497-31AA67918EA0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653</xdr:row>
      <xdr:rowOff>0</xdr:rowOff>
    </xdr:from>
    <xdr:ext cx="104775" cy="208801"/>
    <xdr:sp macro="" textlink="">
      <xdr:nvSpPr>
        <xdr:cNvPr id="418" name="Text Box 249">
          <a:extLst>
            <a:ext uri="{FF2B5EF4-FFF2-40B4-BE49-F238E27FC236}">
              <a16:creationId xmlns:a16="http://schemas.microsoft.com/office/drawing/2014/main" id="{038F4871-E374-402D-85E2-EE56E973A387}"/>
            </a:ext>
          </a:extLst>
        </xdr:cNvPr>
        <xdr:cNvSpPr txBox="1">
          <a:spLocks noChangeArrowheads="1"/>
        </xdr:cNvSpPr>
      </xdr:nvSpPr>
      <xdr:spPr bwMode="auto">
        <a:xfrm>
          <a:off x="9555480" y="1111224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653</xdr:row>
      <xdr:rowOff>0</xdr:rowOff>
    </xdr:from>
    <xdr:ext cx="104775" cy="210011"/>
    <xdr:sp macro="" textlink="">
      <xdr:nvSpPr>
        <xdr:cNvPr id="419" name="Text Box 249">
          <a:extLst>
            <a:ext uri="{FF2B5EF4-FFF2-40B4-BE49-F238E27FC236}">
              <a16:creationId xmlns:a16="http://schemas.microsoft.com/office/drawing/2014/main" id="{700CE44C-D104-460B-8EA0-7737270FDB9C}"/>
            </a:ext>
          </a:extLst>
        </xdr:cNvPr>
        <xdr:cNvSpPr txBox="1">
          <a:spLocks noChangeArrowheads="1"/>
        </xdr:cNvSpPr>
      </xdr:nvSpPr>
      <xdr:spPr bwMode="auto">
        <a:xfrm>
          <a:off x="9558020" y="1111224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655</xdr:row>
      <xdr:rowOff>0</xdr:rowOff>
    </xdr:from>
    <xdr:ext cx="117326" cy="218324"/>
    <xdr:sp macro="" textlink="">
      <xdr:nvSpPr>
        <xdr:cNvPr id="420" name="Text Box 249">
          <a:extLst>
            <a:ext uri="{FF2B5EF4-FFF2-40B4-BE49-F238E27FC236}">
              <a16:creationId xmlns:a16="http://schemas.microsoft.com/office/drawing/2014/main" id="{E92CCB79-457C-43C9-8E77-43BBD49EAFE0}"/>
            </a:ext>
          </a:extLst>
        </xdr:cNvPr>
        <xdr:cNvSpPr txBox="1">
          <a:spLocks noChangeArrowheads="1"/>
        </xdr:cNvSpPr>
      </xdr:nvSpPr>
      <xdr:spPr bwMode="auto">
        <a:xfrm>
          <a:off x="9558020" y="1114577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1" name="Text Box 249">
          <a:extLst>
            <a:ext uri="{FF2B5EF4-FFF2-40B4-BE49-F238E27FC236}">
              <a16:creationId xmlns:a16="http://schemas.microsoft.com/office/drawing/2014/main" id="{F52D6F09-A9B6-415F-A234-ACD5DA62B7C5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2" name="Text Box 249">
          <a:extLst>
            <a:ext uri="{FF2B5EF4-FFF2-40B4-BE49-F238E27FC236}">
              <a16:creationId xmlns:a16="http://schemas.microsoft.com/office/drawing/2014/main" id="{7478134C-CCF1-428F-B113-2431A426B52D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3" name="Text Box 249">
          <a:extLst>
            <a:ext uri="{FF2B5EF4-FFF2-40B4-BE49-F238E27FC236}">
              <a16:creationId xmlns:a16="http://schemas.microsoft.com/office/drawing/2014/main" id="{33AE689D-DBC4-4034-B0BE-CA82F1124B3A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4" name="Text Box 249">
          <a:extLst>
            <a:ext uri="{FF2B5EF4-FFF2-40B4-BE49-F238E27FC236}">
              <a16:creationId xmlns:a16="http://schemas.microsoft.com/office/drawing/2014/main" id="{8717127D-35AF-4EE7-A122-302849AB6FE0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5" name="Text Box 249">
          <a:extLst>
            <a:ext uri="{FF2B5EF4-FFF2-40B4-BE49-F238E27FC236}">
              <a16:creationId xmlns:a16="http://schemas.microsoft.com/office/drawing/2014/main" id="{01EB8E0E-388F-4EA0-89EF-57BF409D2266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26" name="Text Box 249">
          <a:extLst>
            <a:ext uri="{FF2B5EF4-FFF2-40B4-BE49-F238E27FC236}">
              <a16:creationId xmlns:a16="http://schemas.microsoft.com/office/drawing/2014/main" id="{05BDFBE3-26ED-4FC4-85A8-BD2CF64266DE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655</xdr:row>
      <xdr:rowOff>0</xdr:rowOff>
    </xdr:from>
    <xdr:ext cx="104775" cy="210011"/>
    <xdr:sp macro="" textlink="">
      <xdr:nvSpPr>
        <xdr:cNvPr id="427" name="Text Box 249">
          <a:extLst>
            <a:ext uri="{FF2B5EF4-FFF2-40B4-BE49-F238E27FC236}">
              <a16:creationId xmlns:a16="http://schemas.microsoft.com/office/drawing/2014/main" id="{D965B21A-CE73-4521-9DC6-64BAE6803907}"/>
            </a:ext>
          </a:extLst>
        </xdr:cNvPr>
        <xdr:cNvSpPr txBox="1">
          <a:spLocks noChangeArrowheads="1"/>
        </xdr:cNvSpPr>
      </xdr:nvSpPr>
      <xdr:spPr bwMode="auto">
        <a:xfrm>
          <a:off x="9558020" y="1114577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17326" cy="218324"/>
    <xdr:sp macro="" textlink="">
      <xdr:nvSpPr>
        <xdr:cNvPr id="428" name="Text Box 249">
          <a:extLst>
            <a:ext uri="{FF2B5EF4-FFF2-40B4-BE49-F238E27FC236}">
              <a16:creationId xmlns:a16="http://schemas.microsoft.com/office/drawing/2014/main" id="{1141B316-FF6B-4403-8359-D41F9317E314}"/>
            </a:ext>
          </a:extLst>
        </xdr:cNvPr>
        <xdr:cNvSpPr txBox="1">
          <a:spLocks noChangeArrowheads="1"/>
        </xdr:cNvSpPr>
      </xdr:nvSpPr>
      <xdr:spPr bwMode="auto">
        <a:xfrm>
          <a:off x="9558020" y="1116253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29" name="Text Box 249">
          <a:extLst>
            <a:ext uri="{FF2B5EF4-FFF2-40B4-BE49-F238E27FC236}">
              <a16:creationId xmlns:a16="http://schemas.microsoft.com/office/drawing/2014/main" id="{AAF9AC37-535B-4489-98A0-CF450BC8EBA1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30" name="Text Box 249">
          <a:extLst>
            <a:ext uri="{FF2B5EF4-FFF2-40B4-BE49-F238E27FC236}">
              <a16:creationId xmlns:a16="http://schemas.microsoft.com/office/drawing/2014/main" id="{9E3F5DCE-A5E7-41C9-9B79-37B907BB8078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31" name="Text Box 249">
          <a:extLst>
            <a:ext uri="{FF2B5EF4-FFF2-40B4-BE49-F238E27FC236}">
              <a16:creationId xmlns:a16="http://schemas.microsoft.com/office/drawing/2014/main" id="{EC464E1C-BCD4-46F6-918A-9F42C2AD03E1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32" name="Text Box 249">
          <a:extLst>
            <a:ext uri="{FF2B5EF4-FFF2-40B4-BE49-F238E27FC236}">
              <a16:creationId xmlns:a16="http://schemas.microsoft.com/office/drawing/2014/main" id="{75D7F790-D14B-4B73-9376-54B4827BAF54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33" name="Text Box 249">
          <a:extLst>
            <a:ext uri="{FF2B5EF4-FFF2-40B4-BE49-F238E27FC236}">
              <a16:creationId xmlns:a16="http://schemas.microsoft.com/office/drawing/2014/main" id="{CB212824-D3C0-47D2-A620-3FE16BA3D381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434" name="Text Box 249">
          <a:extLst>
            <a:ext uri="{FF2B5EF4-FFF2-40B4-BE49-F238E27FC236}">
              <a16:creationId xmlns:a16="http://schemas.microsoft.com/office/drawing/2014/main" id="{F32A8A24-E94F-4BF3-B83C-EF9D7A6DC65D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04775" cy="210011"/>
    <xdr:sp macro="" textlink="">
      <xdr:nvSpPr>
        <xdr:cNvPr id="435" name="Text Box 249">
          <a:extLst>
            <a:ext uri="{FF2B5EF4-FFF2-40B4-BE49-F238E27FC236}">
              <a16:creationId xmlns:a16="http://schemas.microsoft.com/office/drawing/2014/main" id="{5CDAB3F8-6C62-466E-B3C1-22561F37BDFC}"/>
            </a:ext>
          </a:extLst>
        </xdr:cNvPr>
        <xdr:cNvSpPr txBox="1">
          <a:spLocks noChangeArrowheads="1"/>
        </xdr:cNvSpPr>
      </xdr:nvSpPr>
      <xdr:spPr bwMode="auto">
        <a:xfrm>
          <a:off x="9558020" y="1116253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655</xdr:row>
      <xdr:rowOff>0</xdr:rowOff>
    </xdr:from>
    <xdr:ext cx="117326" cy="218324"/>
    <xdr:sp macro="" textlink="">
      <xdr:nvSpPr>
        <xdr:cNvPr id="436" name="Text Box 249">
          <a:extLst>
            <a:ext uri="{FF2B5EF4-FFF2-40B4-BE49-F238E27FC236}">
              <a16:creationId xmlns:a16="http://schemas.microsoft.com/office/drawing/2014/main" id="{508D026D-E6AC-43B7-BEEC-189AE2D52511}"/>
            </a:ext>
          </a:extLst>
        </xdr:cNvPr>
        <xdr:cNvSpPr txBox="1">
          <a:spLocks noChangeArrowheads="1"/>
        </xdr:cNvSpPr>
      </xdr:nvSpPr>
      <xdr:spPr bwMode="auto">
        <a:xfrm>
          <a:off x="9558020" y="1114577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37" name="Text Box 249">
          <a:extLst>
            <a:ext uri="{FF2B5EF4-FFF2-40B4-BE49-F238E27FC236}">
              <a16:creationId xmlns:a16="http://schemas.microsoft.com/office/drawing/2014/main" id="{8EDFF452-68F0-4FF9-BCA3-F619A2BBA190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38" name="Text Box 249">
          <a:extLst>
            <a:ext uri="{FF2B5EF4-FFF2-40B4-BE49-F238E27FC236}">
              <a16:creationId xmlns:a16="http://schemas.microsoft.com/office/drawing/2014/main" id="{E63ADE1A-CC60-45A1-A92D-F33BF000A995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39" name="Text Box 249">
          <a:extLst>
            <a:ext uri="{FF2B5EF4-FFF2-40B4-BE49-F238E27FC236}">
              <a16:creationId xmlns:a16="http://schemas.microsoft.com/office/drawing/2014/main" id="{ABABACF3-0ED3-466D-A330-EA96847A891C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40" name="Text Box 249">
          <a:extLst>
            <a:ext uri="{FF2B5EF4-FFF2-40B4-BE49-F238E27FC236}">
              <a16:creationId xmlns:a16="http://schemas.microsoft.com/office/drawing/2014/main" id="{30F61DB2-E2B1-46CC-8030-8F8C5C1E686E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41" name="Text Box 249">
          <a:extLst>
            <a:ext uri="{FF2B5EF4-FFF2-40B4-BE49-F238E27FC236}">
              <a16:creationId xmlns:a16="http://schemas.microsoft.com/office/drawing/2014/main" id="{F740931D-9EFD-48AD-A738-8EC6899D54C9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655</xdr:row>
      <xdr:rowOff>0</xdr:rowOff>
    </xdr:from>
    <xdr:ext cx="104775" cy="208801"/>
    <xdr:sp macro="" textlink="">
      <xdr:nvSpPr>
        <xdr:cNvPr id="442" name="Text Box 249">
          <a:extLst>
            <a:ext uri="{FF2B5EF4-FFF2-40B4-BE49-F238E27FC236}">
              <a16:creationId xmlns:a16="http://schemas.microsoft.com/office/drawing/2014/main" id="{633651EE-1705-41BD-AF0D-66CD282DDF70}"/>
            </a:ext>
          </a:extLst>
        </xdr:cNvPr>
        <xdr:cNvSpPr txBox="1">
          <a:spLocks noChangeArrowheads="1"/>
        </xdr:cNvSpPr>
      </xdr:nvSpPr>
      <xdr:spPr bwMode="auto">
        <a:xfrm>
          <a:off x="9555480" y="1114577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655</xdr:row>
      <xdr:rowOff>0</xdr:rowOff>
    </xdr:from>
    <xdr:ext cx="104775" cy="210011"/>
    <xdr:sp macro="" textlink="">
      <xdr:nvSpPr>
        <xdr:cNvPr id="443" name="Text Box 249">
          <a:extLst>
            <a:ext uri="{FF2B5EF4-FFF2-40B4-BE49-F238E27FC236}">
              <a16:creationId xmlns:a16="http://schemas.microsoft.com/office/drawing/2014/main" id="{6EA9BBFA-E735-45CF-AE33-E46712D509C0}"/>
            </a:ext>
          </a:extLst>
        </xdr:cNvPr>
        <xdr:cNvSpPr txBox="1">
          <a:spLocks noChangeArrowheads="1"/>
        </xdr:cNvSpPr>
      </xdr:nvSpPr>
      <xdr:spPr bwMode="auto">
        <a:xfrm>
          <a:off x="9558020" y="1114577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44" name="Text Box 249">
          <a:extLst>
            <a:ext uri="{FF2B5EF4-FFF2-40B4-BE49-F238E27FC236}">
              <a16:creationId xmlns:a16="http://schemas.microsoft.com/office/drawing/2014/main" id="{5A91C0B6-D3E3-402F-9DF0-3D143BDA0F1D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45" name="Text Box 249">
          <a:extLst>
            <a:ext uri="{FF2B5EF4-FFF2-40B4-BE49-F238E27FC236}">
              <a16:creationId xmlns:a16="http://schemas.microsoft.com/office/drawing/2014/main" id="{F14F19F5-3692-4D53-AEFA-D0A217BAA833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46" name="Text Box 249">
          <a:extLst>
            <a:ext uri="{FF2B5EF4-FFF2-40B4-BE49-F238E27FC236}">
              <a16:creationId xmlns:a16="http://schemas.microsoft.com/office/drawing/2014/main" id="{9F8181FB-1888-4507-9BC2-E599CBCA4F22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47" name="Text Box 249">
          <a:extLst>
            <a:ext uri="{FF2B5EF4-FFF2-40B4-BE49-F238E27FC236}">
              <a16:creationId xmlns:a16="http://schemas.microsoft.com/office/drawing/2014/main" id="{A5BE316C-0C29-4ED4-9001-EFB7C73F3466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48" name="Text Box 249">
          <a:extLst>
            <a:ext uri="{FF2B5EF4-FFF2-40B4-BE49-F238E27FC236}">
              <a16:creationId xmlns:a16="http://schemas.microsoft.com/office/drawing/2014/main" id="{317AF376-0723-4859-ABA8-0BB4F6B51006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49" name="Text Box 249">
          <a:extLst>
            <a:ext uri="{FF2B5EF4-FFF2-40B4-BE49-F238E27FC236}">
              <a16:creationId xmlns:a16="http://schemas.microsoft.com/office/drawing/2014/main" id="{5C675B69-3D09-4757-9033-38C3F86F8701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0" name="Text Box 249">
          <a:extLst>
            <a:ext uri="{FF2B5EF4-FFF2-40B4-BE49-F238E27FC236}">
              <a16:creationId xmlns:a16="http://schemas.microsoft.com/office/drawing/2014/main" id="{6A27302F-93AB-4F2F-BE00-BA6807B0DAD3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51" name="Text Box 249">
          <a:extLst>
            <a:ext uri="{FF2B5EF4-FFF2-40B4-BE49-F238E27FC236}">
              <a16:creationId xmlns:a16="http://schemas.microsoft.com/office/drawing/2014/main" id="{4B53BCC0-975F-45F5-AFC5-D29E90ED776B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52" name="Text Box 249">
          <a:extLst>
            <a:ext uri="{FF2B5EF4-FFF2-40B4-BE49-F238E27FC236}">
              <a16:creationId xmlns:a16="http://schemas.microsoft.com/office/drawing/2014/main" id="{47F76663-FE58-4126-81F7-B8A0AC08A5CD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3" name="Text Box 249">
          <a:extLst>
            <a:ext uri="{FF2B5EF4-FFF2-40B4-BE49-F238E27FC236}">
              <a16:creationId xmlns:a16="http://schemas.microsoft.com/office/drawing/2014/main" id="{48A5D9EA-D2E4-4ACA-8EA9-D8BC9EBC28E5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4" name="Text Box 249">
          <a:extLst>
            <a:ext uri="{FF2B5EF4-FFF2-40B4-BE49-F238E27FC236}">
              <a16:creationId xmlns:a16="http://schemas.microsoft.com/office/drawing/2014/main" id="{4BB035F3-6E7D-46FB-A30A-7C00B5980290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5" name="Text Box 249">
          <a:extLst>
            <a:ext uri="{FF2B5EF4-FFF2-40B4-BE49-F238E27FC236}">
              <a16:creationId xmlns:a16="http://schemas.microsoft.com/office/drawing/2014/main" id="{06869681-5D5C-47D8-86C2-A4D24EA470BE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6" name="Text Box 249">
          <a:extLst>
            <a:ext uri="{FF2B5EF4-FFF2-40B4-BE49-F238E27FC236}">
              <a16:creationId xmlns:a16="http://schemas.microsoft.com/office/drawing/2014/main" id="{6232D57E-2574-4344-9A7B-D09EE8781A4E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7" name="Text Box 249">
          <a:extLst>
            <a:ext uri="{FF2B5EF4-FFF2-40B4-BE49-F238E27FC236}">
              <a16:creationId xmlns:a16="http://schemas.microsoft.com/office/drawing/2014/main" id="{42E50178-C2EE-46B0-8D08-A78C1A2F8DC2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58" name="Text Box 249">
          <a:extLst>
            <a:ext uri="{FF2B5EF4-FFF2-40B4-BE49-F238E27FC236}">
              <a16:creationId xmlns:a16="http://schemas.microsoft.com/office/drawing/2014/main" id="{D9EF1A96-4754-45C0-80D9-1D5B41CAF3BB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59" name="Text Box 249">
          <a:extLst>
            <a:ext uri="{FF2B5EF4-FFF2-40B4-BE49-F238E27FC236}">
              <a16:creationId xmlns:a16="http://schemas.microsoft.com/office/drawing/2014/main" id="{19AE9858-D87F-4A3E-8FEA-D483BF2C6193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60" name="Text Box 249">
          <a:extLst>
            <a:ext uri="{FF2B5EF4-FFF2-40B4-BE49-F238E27FC236}">
              <a16:creationId xmlns:a16="http://schemas.microsoft.com/office/drawing/2014/main" id="{7686D902-FAB3-48A5-B7FB-1382745CBAFC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1" name="Text Box 249">
          <a:extLst>
            <a:ext uri="{FF2B5EF4-FFF2-40B4-BE49-F238E27FC236}">
              <a16:creationId xmlns:a16="http://schemas.microsoft.com/office/drawing/2014/main" id="{810F3F6C-6D90-457B-A047-403FC0DFD78A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2" name="Text Box 249">
          <a:extLst>
            <a:ext uri="{FF2B5EF4-FFF2-40B4-BE49-F238E27FC236}">
              <a16:creationId xmlns:a16="http://schemas.microsoft.com/office/drawing/2014/main" id="{9635A5A7-E9A0-420C-94CF-08A471217D51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3" name="Text Box 249">
          <a:extLst>
            <a:ext uri="{FF2B5EF4-FFF2-40B4-BE49-F238E27FC236}">
              <a16:creationId xmlns:a16="http://schemas.microsoft.com/office/drawing/2014/main" id="{E3C2D138-36BF-4BA0-B957-8A2D8ACE033F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4" name="Text Box 249">
          <a:extLst>
            <a:ext uri="{FF2B5EF4-FFF2-40B4-BE49-F238E27FC236}">
              <a16:creationId xmlns:a16="http://schemas.microsoft.com/office/drawing/2014/main" id="{D6C03BAB-13A5-400A-808C-99259BEA7CD4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5" name="Text Box 249">
          <a:extLst>
            <a:ext uri="{FF2B5EF4-FFF2-40B4-BE49-F238E27FC236}">
              <a16:creationId xmlns:a16="http://schemas.microsoft.com/office/drawing/2014/main" id="{36E2DEC4-BE7E-49A5-A975-6E60662C1A51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6" name="Text Box 249">
          <a:extLst>
            <a:ext uri="{FF2B5EF4-FFF2-40B4-BE49-F238E27FC236}">
              <a16:creationId xmlns:a16="http://schemas.microsoft.com/office/drawing/2014/main" id="{570D90FD-B0E6-486E-B07E-7BD514702D9C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67" name="Text Box 249">
          <a:extLst>
            <a:ext uri="{FF2B5EF4-FFF2-40B4-BE49-F238E27FC236}">
              <a16:creationId xmlns:a16="http://schemas.microsoft.com/office/drawing/2014/main" id="{3EF3A36E-920D-4032-8B1E-86A927340547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68" name="Text Box 249">
          <a:extLst>
            <a:ext uri="{FF2B5EF4-FFF2-40B4-BE49-F238E27FC236}">
              <a16:creationId xmlns:a16="http://schemas.microsoft.com/office/drawing/2014/main" id="{2EEBEB13-7D9F-4C8A-97BD-69DDAD0F8F8C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69" name="Text Box 249">
          <a:extLst>
            <a:ext uri="{FF2B5EF4-FFF2-40B4-BE49-F238E27FC236}">
              <a16:creationId xmlns:a16="http://schemas.microsoft.com/office/drawing/2014/main" id="{0ADB082A-3E91-4700-B1B3-5F50B1656217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0" name="Text Box 249">
          <a:extLst>
            <a:ext uri="{FF2B5EF4-FFF2-40B4-BE49-F238E27FC236}">
              <a16:creationId xmlns:a16="http://schemas.microsoft.com/office/drawing/2014/main" id="{060D1C51-3A48-4D4C-9F57-7327012827FA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1" name="Text Box 249">
          <a:extLst>
            <a:ext uri="{FF2B5EF4-FFF2-40B4-BE49-F238E27FC236}">
              <a16:creationId xmlns:a16="http://schemas.microsoft.com/office/drawing/2014/main" id="{F9D2C5B9-BC58-4775-A147-525809FD3DB0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2" name="Text Box 249">
          <a:extLst>
            <a:ext uri="{FF2B5EF4-FFF2-40B4-BE49-F238E27FC236}">
              <a16:creationId xmlns:a16="http://schemas.microsoft.com/office/drawing/2014/main" id="{0964F9B3-DE97-469A-B5FF-DA2E3F4779A9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3" name="Text Box 249">
          <a:extLst>
            <a:ext uri="{FF2B5EF4-FFF2-40B4-BE49-F238E27FC236}">
              <a16:creationId xmlns:a16="http://schemas.microsoft.com/office/drawing/2014/main" id="{855AD738-5652-40E9-BDA0-2F34EF40E853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4" name="Text Box 249">
          <a:extLst>
            <a:ext uri="{FF2B5EF4-FFF2-40B4-BE49-F238E27FC236}">
              <a16:creationId xmlns:a16="http://schemas.microsoft.com/office/drawing/2014/main" id="{7FDB0158-5C7E-462A-88FA-95EA79E778F5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75" name="Text Box 249">
          <a:extLst>
            <a:ext uri="{FF2B5EF4-FFF2-40B4-BE49-F238E27FC236}">
              <a16:creationId xmlns:a16="http://schemas.microsoft.com/office/drawing/2014/main" id="{48CDE2CF-BEDA-4BFE-9B58-EAE0542BCE9C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76" name="Text Box 249">
          <a:extLst>
            <a:ext uri="{FF2B5EF4-FFF2-40B4-BE49-F238E27FC236}">
              <a16:creationId xmlns:a16="http://schemas.microsoft.com/office/drawing/2014/main" id="{37C14341-718F-44A7-8BD6-42999BA46EEB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7" name="Text Box 249">
          <a:extLst>
            <a:ext uri="{FF2B5EF4-FFF2-40B4-BE49-F238E27FC236}">
              <a16:creationId xmlns:a16="http://schemas.microsoft.com/office/drawing/2014/main" id="{311841EB-0A36-49A4-9DB9-4B54FD1E3039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8" name="Text Box 249">
          <a:extLst>
            <a:ext uri="{FF2B5EF4-FFF2-40B4-BE49-F238E27FC236}">
              <a16:creationId xmlns:a16="http://schemas.microsoft.com/office/drawing/2014/main" id="{D82D97A7-E766-4695-93AF-29133F9C2E57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79" name="Text Box 249">
          <a:extLst>
            <a:ext uri="{FF2B5EF4-FFF2-40B4-BE49-F238E27FC236}">
              <a16:creationId xmlns:a16="http://schemas.microsoft.com/office/drawing/2014/main" id="{A11A1730-F6FB-4EBB-8B14-6EFFB5533079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0" name="Text Box 249">
          <a:extLst>
            <a:ext uri="{FF2B5EF4-FFF2-40B4-BE49-F238E27FC236}">
              <a16:creationId xmlns:a16="http://schemas.microsoft.com/office/drawing/2014/main" id="{AEC8DECF-C2B6-4928-B106-63614F25274F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1" name="Text Box 249">
          <a:extLst>
            <a:ext uri="{FF2B5EF4-FFF2-40B4-BE49-F238E27FC236}">
              <a16:creationId xmlns:a16="http://schemas.microsoft.com/office/drawing/2014/main" id="{21B72E0E-4242-4562-BE9F-2BB376E6E65C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2" name="Text Box 249">
          <a:extLst>
            <a:ext uri="{FF2B5EF4-FFF2-40B4-BE49-F238E27FC236}">
              <a16:creationId xmlns:a16="http://schemas.microsoft.com/office/drawing/2014/main" id="{272863B1-2F4E-4E31-BE3E-37C34F258AE0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83" name="Text Box 249">
          <a:extLst>
            <a:ext uri="{FF2B5EF4-FFF2-40B4-BE49-F238E27FC236}">
              <a16:creationId xmlns:a16="http://schemas.microsoft.com/office/drawing/2014/main" id="{938B56B6-6F4D-44EA-8879-8F47D22BC20C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84" name="Text Box 249">
          <a:extLst>
            <a:ext uri="{FF2B5EF4-FFF2-40B4-BE49-F238E27FC236}">
              <a16:creationId xmlns:a16="http://schemas.microsoft.com/office/drawing/2014/main" id="{27C6C77D-F576-4932-A295-1E5065A45A33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5" name="Text Box 249">
          <a:extLst>
            <a:ext uri="{FF2B5EF4-FFF2-40B4-BE49-F238E27FC236}">
              <a16:creationId xmlns:a16="http://schemas.microsoft.com/office/drawing/2014/main" id="{A0F4447A-2649-4ECC-A203-0452391776E2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6" name="Text Box 249">
          <a:extLst>
            <a:ext uri="{FF2B5EF4-FFF2-40B4-BE49-F238E27FC236}">
              <a16:creationId xmlns:a16="http://schemas.microsoft.com/office/drawing/2014/main" id="{019246A7-4F0B-4D4E-AFFD-30D606054B16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7" name="Text Box 249">
          <a:extLst>
            <a:ext uri="{FF2B5EF4-FFF2-40B4-BE49-F238E27FC236}">
              <a16:creationId xmlns:a16="http://schemas.microsoft.com/office/drawing/2014/main" id="{E6F6ECEE-8EB0-4AB5-BDA3-52F8D3ED341F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8" name="Text Box 249">
          <a:extLst>
            <a:ext uri="{FF2B5EF4-FFF2-40B4-BE49-F238E27FC236}">
              <a16:creationId xmlns:a16="http://schemas.microsoft.com/office/drawing/2014/main" id="{639E67A6-30EC-4EF8-9B0E-B14D819B81FA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89" name="Text Box 249">
          <a:extLst>
            <a:ext uri="{FF2B5EF4-FFF2-40B4-BE49-F238E27FC236}">
              <a16:creationId xmlns:a16="http://schemas.microsoft.com/office/drawing/2014/main" id="{9E3802FA-194F-4E9B-A5D5-ABBCFB515BEC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0" name="Text Box 249">
          <a:extLst>
            <a:ext uri="{FF2B5EF4-FFF2-40B4-BE49-F238E27FC236}">
              <a16:creationId xmlns:a16="http://schemas.microsoft.com/office/drawing/2014/main" id="{37AD188F-C5BC-43F9-9132-A90AF0AB3045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91" name="Text Box 249">
          <a:extLst>
            <a:ext uri="{FF2B5EF4-FFF2-40B4-BE49-F238E27FC236}">
              <a16:creationId xmlns:a16="http://schemas.microsoft.com/office/drawing/2014/main" id="{903DD7AB-A8F9-4E52-8948-FB51DF545F3E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492" name="Text Box 249">
          <a:extLst>
            <a:ext uri="{FF2B5EF4-FFF2-40B4-BE49-F238E27FC236}">
              <a16:creationId xmlns:a16="http://schemas.microsoft.com/office/drawing/2014/main" id="{47C505D2-30CF-4DD7-84B4-72B6D46F974B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3" name="Text Box 249">
          <a:extLst>
            <a:ext uri="{FF2B5EF4-FFF2-40B4-BE49-F238E27FC236}">
              <a16:creationId xmlns:a16="http://schemas.microsoft.com/office/drawing/2014/main" id="{B7755FAF-9786-4394-8239-2766BFC8103B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4" name="Text Box 249">
          <a:extLst>
            <a:ext uri="{FF2B5EF4-FFF2-40B4-BE49-F238E27FC236}">
              <a16:creationId xmlns:a16="http://schemas.microsoft.com/office/drawing/2014/main" id="{69E3764A-43BC-41D5-9849-726BD7081909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5" name="Text Box 249">
          <a:extLst>
            <a:ext uri="{FF2B5EF4-FFF2-40B4-BE49-F238E27FC236}">
              <a16:creationId xmlns:a16="http://schemas.microsoft.com/office/drawing/2014/main" id="{B899C030-C9AD-4158-A746-CFC426B09328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6" name="Text Box 249">
          <a:extLst>
            <a:ext uri="{FF2B5EF4-FFF2-40B4-BE49-F238E27FC236}">
              <a16:creationId xmlns:a16="http://schemas.microsoft.com/office/drawing/2014/main" id="{6DE7A46C-E95F-47AF-BDC7-AA15BC344EAF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7" name="Text Box 249">
          <a:extLst>
            <a:ext uri="{FF2B5EF4-FFF2-40B4-BE49-F238E27FC236}">
              <a16:creationId xmlns:a16="http://schemas.microsoft.com/office/drawing/2014/main" id="{815824FE-3E58-41CA-9BBD-937CFF10C901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498" name="Text Box 249">
          <a:extLst>
            <a:ext uri="{FF2B5EF4-FFF2-40B4-BE49-F238E27FC236}">
              <a16:creationId xmlns:a16="http://schemas.microsoft.com/office/drawing/2014/main" id="{C66F124C-4EAD-4EAF-B3EB-50522F6DF187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499" name="Text Box 249">
          <a:extLst>
            <a:ext uri="{FF2B5EF4-FFF2-40B4-BE49-F238E27FC236}">
              <a16:creationId xmlns:a16="http://schemas.microsoft.com/office/drawing/2014/main" id="{E974DFFC-F5EC-4B99-B536-67BA8D2D8A24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500" name="Text Box 249">
          <a:extLst>
            <a:ext uri="{FF2B5EF4-FFF2-40B4-BE49-F238E27FC236}">
              <a16:creationId xmlns:a16="http://schemas.microsoft.com/office/drawing/2014/main" id="{006010DB-5916-43B2-AF44-CE2C2F80774F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1" name="Text Box 249">
          <a:extLst>
            <a:ext uri="{FF2B5EF4-FFF2-40B4-BE49-F238E27FC236}">
              <a16:creationId xmlns:a16="http://schemas.microsoft.com/office/drawing/2014/main" id="{D67974BA-5B06-43C8-8D04-9AA9711A9FBD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2" name="Text Box 249">
          <a:extLst>
            <a:ext uri="{FF2B5EF4-FFF2-40B4-BE49-F238E27FC236}">
              <a16:creationId xmlns:a16="http://schemas.microsoft.com/office/drawing/2014/main" id="{758781EF-D1D8-481B-9A82-E56E32C062DD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3" name="Text Box 249">
          <a:extLst>
            <a:ext uri="{FF2B5EF4-FFF2-40B4-BE49-F238E27FC236}">
              <a16:creationId xmlns:a16="http://schemas.microsoft.com/office/drawing/2014/main" id="{4E3C950C-1E4B-4465-8BE5-AC617E75020E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4" name="Text Box 249">
          <a:extLst>
            <a:ext uri="{FF2B5EF4-FFF2-40B4-BE49-F238E27FC236}">
              <a16:creationId xmlns:a16="http://schemas.microsoft.com/office/drawing/2014/main" id="{44ADA80E-6367-465A-8394-5ADAEB1F0BAB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5" name="Text Box 249">
          <a:extLst>
            <a:ext uri="{FF2B5EF4-FFF2-40B4-BE49-F238E27FC236}">
              <a16:creationId xmlns:a16="http://schemas.microsoft.com/office/drawing/2014/main" id="{2D40EF71-9538-4193-8D67-62BC665B5AC5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06" name="Text Box 249">
          <a:extLst>
            <a:ext uri="{FF2B5EF4-FFF2-40B4-BE49-F238E27FC236}">
              <a16:creationId xmlns:a16="http://schemas.microsoft.com/office/drawing/2014/main" id="{9DFCBB67-DA84-4326-A646-84A70D664030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507" name="Text Box 249">
          <a:extLst>
            <a:ext uri="{FF2B5EF4-FFF2-40B4-BE49-F238E27FC236}">
              <a16:creationId xmlns:a16="http://schemas.microsoft.com/office/drawing/2014/main" id="{DD151FE2-60FD-4AF0-AA53-1594B2E4007B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17326" cy="218324"/>
    <xdr:sp macro="" textlink="">
      <xdr:nvSpPr>
        <xdr:cNvPr id="508" name="Text Box 249">
          <a:extLst>
            <a:ext uri="{FF2B5EF4-FFF2-40B4-BE49-F238E27FC236}">
              <a16:creationId xmlns:a16="http://schemas.microsoft.com/office/drawing/2014/main" id="{ADFBCB7B-5A3E-4FD3-9BCD-F11E29ABBC70}"/>
            </a:ext>
          </a:extLst>
        </xdr:cNvPr>
        <xdr:cNvSpPr txBox="1">
          <a:spLocks noChangeArrowheads="1"/>
        </xdr:cNvSpPr>
      </xdr:nvSpPr>
      <xdr:spPr bwMode="auto">
        <a:xfrm>
          <a:off x="9558020" y="1116253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09" name="Text Box 249">
          <a:extLst>
            <a:ext uri="{FF2B5EF4-FFF2-40B4-BE49-F238E27FC236}">
              <a16:creationId xmlns:a16="http://schemas.microsoft.com/office/drawing/2014/main" id="{2B84EE96-B682-4FCA-B266-909B2B7D0E83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10" name="Text Box 249">
          <a:extLst>
            <a:ext uri="{FF2B5EF4-FFF2-40B4-BE49-F238E27FC236}">
              <a16:creationId xmlns:a16="http://schemas.microsoft.com/office/drawing/2014/main" id="{11E1B469-FF99-456F-BBD3-9588609514D3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11" name="Text Box 249">
          <a:extLst>
            <a:ext uri="{FF2B5EF4-FFF2-40B4-BE49-F238E27FC236}">
              <a16:creationId xmlns:a16="http://schemas.microsoft.com/office/drawing/2014/main" id="{9F7B0647-95ED-459B-96A2-FA3BFB935405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12" name="Text Box 249">
          <a:extLst>
            <a:ext uri="{FF2B5EF4-FFF2-40B4-BE49-F238E27FC236}">
              <a16:creationId xmlns:a16="http://schemas.microsoft.com/office/drawing/2014/main" id="{9A03A08E-248D-4B06-B243-9E3EFED78B04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13" name="Text Box 249">
          <a:extLst>
            <a:ext uri="{FF2B5EF4-FFF2-40B4-BE49-F238E27FC236}">
              <a16:creationId xmlns:a16="http://schemas.microsoft.com/office/drawing/2014/main" id="{3B753741-736D-46A4-BFA4-B155D3FAE510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14" name="Text Box 249">
          <a:extLst>
            <a:ext uri="{FF2B5EF4-FFF2-40B4-BE49-F238E27FC236}">
              <a16:creationId xmlns:a16="http://schemas.microsoft.com/office/drawing/2014/main" id="{1675BB5F-36FE-49C0-A91B-53BD3255A41D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04775" cy="210011"/>
    <xdr:sp macro="" textlink="">
      <xdr:nvSpPr>
        <xdr:cNvPr id="515" name="Text Box 249">
          <a:extLst>
            <a:ext uri="{FF2B5EF4-FFF2-40B4-BE49-F238E27FC236}">
              <a16:creationId xmlns:a16="http://schemas.microsoft.com/office/drawing/2014/main" id="{A6A3BD09-F72B-46DD-BEC4-C7C26A35F177}"/>
            </a:ext>
          </a:extLst>
        </xdr:cNvPr>
        <xdr:cNvSpPr txBox="1">
          <a:spLocks noChangeArrowheads="1"/>
        </xdr:cNvSpPr>
      </xdr:nvSpPr>
      <xdr:spPr bwMode="auto">
        <a:xfrm>
          <a:off x="9558020" y="1116253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17326" cy="218324"/>
    <xdr:sp macro="" textlink="">
      <xdr:nvSpPr>
        <xdr:cNvPr id="516" name="Text Box 249">
          <a:extLst>
            <a:ext uri="{FF2B5EF4-FFF2-40B4-BE49-F238E27FC236}">
              <a16:creationId xmlns:a16="http://schemas.microsoft.com/office/drawing/2014/main" id="{951050D5-DE5E-4B8D-98CF-FB3ED1EB124F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17" name="Text Box 249">
          <a:extLst>
            <a:ext uri="{FF2B5EF4-FFF2-40B4-BE49-F238E27FC236}">
              <a16:creationId xmlns:a16="http://schemas.microsoft.com/office/drawing/2014/main" id="{1B5BEF0E-3ABE-4111-856E-4A2D76F44877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18" name="Text Box 249">
          <a:extLst>
            <a:ext uri="{FF2B5EF4-FFF2-40B4-BE49-F238E27FC236}">
              <a16:creationId xmlns:a16="http://schemas.microsoft.com/office/drawing/2014/main" id="{80167E8F-340B-442A-8338-E90F34F1C156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19" name="Text Box 249">
          <a:extLst>
            <a:ext uri="{FF2B5EF4-FFF2-40B4-BE49-F238E27FC236}">
              <a16:creationId xmlns:a16="http://schemas.microsoft.com/office/drawing/2014/main" id="{FA26AF6B-A34B-4FF8-859A-4BCBF48A7B89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20" name="Text Box 249">
          <a:extLst>
            <a:ext uri="{FF2B5EF4-FFF2-40B4-BE49-F238E27FC236}">
              <a16:creationId xmlns:a16="http://schemas.microsoft.com/office/drawing/2014/main" id="{E55D2D43-14F6-4A2C-89D7-4747218C8894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21" name="Text Box 249">
          <a:extLst>
            <a:ext uri="{FF2B5EF4-FFF2-40B4-BE49-F238E27FC236}">
              <a16:creationId xmlns:a16="http://schemas.microsoft.com/office/drawing/2014/main" id="{4982DB4E-881C-40F3-BC45-480D24DB856D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657</xdr:row>
      <xdr:rowOff>0</xdr:rowOff>
    </xdr:from>
    <xdr:ext cx="104775" cy="208801"/>
    <xdr:sp macro="" textlink="">
      <xdr:nvSpPr>
        <xdr:cNvPr id="522" name="Text Box 249">
          <a:extLst>
            <a:ext uri="{FF2B5EF4-FFF2-40B4-BE49-F238E27FC236}">
              <a16:creationId xmlns:a16="http://schemas.microsoft.com/office/drawing/2014/main" id="{FDA8D833-EB81-457A-84E3-55BEF44C625E}"/>
            </a:ext>
          </a:extLst>
        </xdr:cNvPr>
        <xdr:cNvSpPr txBox="1">
          <a:spLocks noChangeArrowheads="1"/>
        </xdr:cNvSpPr>
      </xdr:nvSpPr>
      <xdr:spPr bwMode="auto">
        <a:xfrm>
          <a:off x="9555480" y="111793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657</xdr:row>
      <xdr:rowOff>0</xdr:rowOff>
    </xdr:from>
    <xdr:ext cx="104775" cy="210011"/>
    <xdr:sp macro="" textlink="">
      <xdr:nvSpPr>
        <xdr:cNvPr id="523" name="Text Box 249">
          <a:extLst>
            <a:ext uri="{FF2B5EF4-FFF2-40B4-BE49-F238E27FC236}">
              <a16:creationId xmlns:a16="http://schemas.microsoft.com/office/drawing/2014/main" id="{AFDD5A5D-36B8-4265-B4AD-9E4871438C31}"/>
            </a:ext>
          </a:extLst>
        </xdr:cNvPr>
        <xdr:cNvSpPr txBox="1">
          <a:spLocks noChangeArrowheads="1"/>
        </xdr:cNvSpPr>
      </xdr:nvSpPr>
      <xdr:spPr bwMode="auto">
        <a:xfrm>
          <a:off x="9558020" y="111793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17326" cy="218324"/>
    <xdr:sp macro="" textlink="">
      <xdr:nvSpPr>
        <xdr:cNvPr id="524" name="Text Box 249">
          <a:extLst>
            <a:ext uri="{FF2B5EF4-FFF2-40B4-BE49-F238E27FC236}">
              <a16:creationId xmlns:a16="http://schemas.microsoft.com/office/drawing/2014/main" id="{1292C1F9-9FFE-4964-A4FC-18D11055CB4E}"/>
            </a:ext>
          </a:extLst>
        </xdr:cNvPr>
        <xdr:cNvSpPr txBox="1">
          <a:spLocks noChangeArrowheads="1"/>
        </xdr:cNvSpPr>
      </xdr:nvSpPr>
      <xdr:spPr bwMode="auto">
        <a:xfrm>
          <a:off x="9558020" y="1116253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25" name="Text Box 249">
          <a:extLst>
            <a:ext uri="{FF2B5EF4-FFF2-40B4-BE49-F238E27FC236}">
              <a16:creationId xmlns:a16="http://schemas.microsoft.com/office/drawing/2014/main" id="{1CF2878D-75C1-48B6-8AD3-4C94917CCC86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26" name="Text Box 249">
          <a:extLst>
            <a:ext uri="{FF2B5EF4-FFF2-40B4-BE49-F238E27FC236}">
              <a16:creationId xmlns:a16="http://schemas.microsoft.com/office/drawing/2014/main" id="{FD5EA999-0C53-4356-ACFE-8DA97859E69E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27" name="Text Box 249">
          <a:extLst>
            <a:ext uri="{FF2B5EF4-FFF2-40B4-BE49-F238E27FC236}">
              <a16:creationId xmlns:a16="http://schemas.microsoft.com/office/drawing/2014/main" id="{E5158369-906D-4C82-82A3-5CC863365AE8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28" name="Text Box 249">
          <a:extLst>
            <a:ext uri="{FF2B5EF4-FFF2-40B4-BE49-F238E27FC236}">
              <a16:creationId xmlns:a16="http://schemas.microsoft.com/office/drawing/2014/main" id="{E1BB03A7-2357-44D2-B7F8-5A9B23738A1A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29" name="Text Box 249">
          <a:extLst>
            <a:ext uri="{FF2B5EF4-FFF2-40B4-BE49-F238E27FC236}">
              <a16:creationId xmlns:a16="http://schemas.microsoft.com/office/drawing/2014/main" id="{FAF4294A-499E-4432-B65E-57C5F17973FE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656</xdr:row>
      <xdr:rowOff>0</xdr:rowOff>
    </xdr:from>
    <xdr:ext cx="104775" cy="208801"/>
    <xdr:sp macro="" textlink="">
      <xdr:nvSpPr>
        <xdr:cNvPr id="530" name="Text Box 249">
          <a:extLst>
            <a:ext uri="{FF2B5EF4-FFF2-40B4-BE49-F238E27FC236}">
              <a16:creationId xmlns:a16="http://schemas.microsoft.com/office/drawing/2014/main" id="{9F0B65D6-EA4D-402F-8E0C-46B32A789D04}"/>
            </a:ext>
          </a:extLst>
        </xdr:cNvPr>
        <xdr:cNvSpPr txBox="1">
          <a:spLocks noChangeArrowheads="1"/>
        </xdr:cNvSpPr>
      </xdr:nvSpPr>
      <xdr:spPr bwMode="auto">
        <a:xfrm>
          <a:off x="9555480" y="1116253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656</xdr:row>
      <xdr:rowOff>0</xdr:rowOff>
    </xdr:from>
    <xdr:ext cx="104775" cy="210011"/>
    <xdr:sp macro="" textlink="">
      <xdr:nvSpPr>
        <xdr:cNvPr id="531" name="Text Box 249">
          <a:extLst>
            <a:ext uri="{FF2B5EF4-FFF2-40B4-BE49-F238E27FC236}">
              <a16:creationId xmlns:a16="http://schemas.microsoft.com/office/drawing/2014/main" id="{57F6F957-05F3-42C5-95FB-18EC60068075}"/>
            </a:ext>
          </a:extLst>
        </xdr:cNvPr>
        <xdr:cNvSpPr txBox="1">
          <a:spLocks noChangeArrowheads="1"/>
        </xdr:cNvSpPr>
      </xdr:nvSpPr>
      <xdr:spPr bwMode="auto">
        <a:xfrm>
          <a:off x="9558020" y="1116253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677</xdr:row>
      <xdr:rowOff>0</xdr:rowOff>
    </xdr:from>
    <xdr:ext cx="117326" cy="218324"/>
    <xdr:sp macro="" textlink="">
      <xdr:nvSpPr>
        <xdr:cNvPr id="532" name="Text Box 249">
          <a:extLst>
            <a:ext uri="{FF2B5EF4-FFF2-40B4-BE49-F238E27FC236}">
              <a16:creationId xmlns:a16="http://schemas.microsoft.com/office/drawing/2014/main" id="{AEF24AD5-9E67-4CE8-A5AA-1C65F44AD1BA}"/>
            </a:ext>
          </a:extLst>
        </xdr:cNvPr>
        <xdr:cNvSpPr txBox="1">
          <a:spLocks noChangeArrowheads="1"/>
        </xdr:cNvSpPr>
      </xdr:nvSpPr>
      <xdr:spPr bwMode="auto">
        <a:xfrm>
          <a:off x="9558020" y="1151610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3" name="Text Box 249">
          <a:extLst>
            <a:ext uri="{FF2B5EF4-FFF2-40B4-BE49-F238E27FC236}">
              <a16:creationId xmlns:a16="http://schemas.microsoft.com/office/drawing/2014/main" id="{C402427A-8A0F-4D21-821A-7183F38ED839}"/>
            </a:ext>
          </a:extLst>
        </xdr:cNvPr>
        <xdr:cNvSpPr txBox="1">
          <a:spLocks noChangeArrowheads="1"/>
        </xdr:cNvSpPr>
      </xdr:nvSpPr>
      <xdr:spPr bwMode="auto">
        <a:xfrm>
          <a:off x="9555480" y="115161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4" name="Text Box 249">
          <a:extLst>
            <a:ext uri="{FF2B5EF4-FFF2-40B4-BE49-F238E27FC236}">
              <a16:creationId xmlns:a16="http://schemas.microsoft.com/office/drawing/2014/main" id="{2A82E7EB-574B-4414-AC4A-54DC4826C14F}"/>
            </a:ext>
          </a:extLst>
        </xdr:cNvPr>
        <xdr:cNvSpPr txBox="1">
          <a:spLocks noChangeArrowheads="1"/>
        </xdr:cNvSpPr>
      </xdr:nvSpPr>
      <xdr:spPr bwMode="auto">
        <a:xfrm>
          <a:off x="9555480" y="115161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5" name="Text Box 249">
          <a:extLst>
            <a:ext uri="{FF2B5EF4-FFF2-40B4-BE49-F238E27FC236}">
              <a16:creationId xmlns:a16="http://schemas.microsoft.com/office/drawing/2014/main" id="{92D0FE5D-C3B4-4AA3-9E57-7358E7253D2E}"/>
            </a:ext>
          </a:extLst>
        </xdr:cNvPr>
        <xdr:cNvSpPr txBox="1">
          <a:spLocks noChangeArrowheads="1"/>
        </xdr:cNvSpPr>
      </xdr:nvSpPr>
      <xdr:spPr bwMode="auto">
        <a:xfrm>
          <a:off x="9555480" y="115161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6" name="Text Box 249">
          <a:extLst>
            <a:ext uri="{FF2B5EF4-FFF2-40B4-BE49-F238E27FC236}">
              <a16:creationId xmlns:a16="http://schemas.microsoft.com/office/drawing/2014/main" id="{8F273212-C30C-4A05-8BA0-32CFA33FB3D8}"/>
            </a:ext>
          </a:extLst>
        </xdr:cNvPr>
        <xdr:cNvSpPr txBox="1">
          <a:spLocks noChangeArrowheads="1"/>
        </xdr:cNvSpPr>
      </xdr:nvSpPr>
      <xdr:spPr bwMode="auto">
        <a:xfrm>
          <a:off x="9555480" y="115161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7" name="Text Box 249">
          <a:extLst>
            <a:ext uri="{FF2B5EF4-FFF2-40B4-BE49-F238E27FC236}">
              <a16:creationId xmlns:a16="http://schemas.microsoft.com/office/drawing/2014/main" id="{A11AC47A-C58E-4EC9-9001-43468BAE40DB}"/>
            </a:ext>
          </a:extLst>
        </xdr:cNvPr>
        <xdr:cNvSpPr txBox="1">
          <a:spLocks noChangeArrowheads="1"/>
        </xdr:cNvSpPr>
      </xdr:nvSpPr>
      <xdr:spPr bwMode="auto">
        <a:xfrm>
          <a:off x="9555480" y="115161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677</xdr:row>
      <xdr:rowOff>0</xdr:rowOff>
    </xdr:from>
    <xdr:ext cx="104775" cy="208801"/>
    <xdr:sp macro="" textlink="">
      <xdr:nvSpPr>
        <xdr:cNvPr id="538" name="Text Box 249">
          <a:extLst>
            <a:ext uri="{FF2B5EF4-FFF2-40B4-BE49-F238E27FC236}">
              <a16:creationId xmlns:a16="http://schemas.microsoft.com/office/drawing/2014/main" id="{4CB19063-EAD0-4E81-8A5C-593321B3EFC9}"/>
            </a:ext>
          </a:extLst>
        </xdr:cNvPr>
        <xdr:cNvSpPr txBox="1">
          <a:spLocks noChangeArrowheads="1"/>
        </xdr:cNvSpPr>
      </xdr:nvSpPr>
      <xdr:spPr bwMode="auto">
        <a:xfrm>
          <a:off x="9555480" y="1151610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677</xdr:row>
      <xdr:rowOff>0</xdr:rowOff>
    </xdr:from>
    <xdr:ext cx="104775" cy="210011"/>
    <xdr:sp macro="" textlink="">
      <xdr:nvSpPr>
        <xdr:cNvPr id="539" name="Text Box 249">
          <a:extLst>
            <a:ext uri="{FF2B5EF4-FFF2-40B4-BE49-F238E27FC236}">
              <a16:creationId xmlns:a16="http://schemas.microsoft.com/office/drawing/2014/main" id="{3C544137-687B-46F0-8719-681FB612C145}"/>
            </a:ext>
          </a:extLst>
        </xdr:cNvPr>
        <xdr:cNvSpPr txBox="1">
          <a:spLocks noChangeArrowheads="1"/>
        </xdr:cNvSpPr>
      </xdr:nvSpPr>
      <xdr:spPr bwMode="auto">
        <a:xfrm>
          <a:off x="9558020" y="1151610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40" name="Text Box 249">
          <a:extLst>
            <a:ext uri="{FF2B5EF4-FFF2-40B4-BE49-F238E27FC236}">
              <a16:creationId xmlns:a16="http://schemas.microsoft.com/office/drawing/2014/main" id="{DB148740-A4B5-4018-A1D7-6F3E6D0E560A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1" name="Text Box 249">
          <a:extLst>
            <a:ext uri="{FF2B5EF4-FFF2-40B4-BE49-F238E27FC236}">
              <a16:creationId xmlns:a16="http://schemas.microsoft.com/office/drawing/2014/main" id="{18ED6175-7919-49DA-8A17-C19C1D4D83A9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2" name="Text Box 249">
          <a:extLst>
            <a:ext uri="{FF2B5EF4-FFF2-40B4-BE49-F238E27FC236}">
              <a16:creationId xmlns:a16="http://schemas.microsoft.com/office/drawing/2014/main" id="{76CBCC12-7C45-4F53-8469-3DB5C56A5628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3" name="Text Box 249">
          <a:extLst>
            <a:ext uri="{FF2B5EF4-FFF2-40B4-BE49-F238E27FC236}">
              <a16:creationId xmlns:a16="http://schemas.microsoft.com/office/drawing/2014/main" id="{005B2177-1F5D-4A6E-91EF-120305E51C1F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4" name="Text Box 249">
          <a:extLst>
            <a:ext uri="{FF2B5EF4-FFF2-40B4-BE49-F238E27FC236}">
              <a16:creationId xmlns:a16="http://schemas.microsoft.com/office/drawing/2014/main" id="{07C97FD8-AE01-4FF6-80B5-4A5768FCB5D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5" name="Text Box 249">
          <a:extLst>
            <a:ext uri="{FF2B5EF4-FFF2-40B4-BE49-F238E27FC236}">
              <a16:creationId xmlns:a16="http://schemas.microsoft.com/office/drawing/2014/main" id="{99DD9C71-685A-4799-90F6-4E1837792188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6" name="Text Box 249">
          <a:extLst>
            <a:ext uri="{FF2B5EF4-FFF2-40B4-BE49-F238E27FC236}">
              <a16:creationId xmlns:a16="http://schemas.microsoft.com/office/drawing/2014/main" id="{244B2683-3D01-472C-B3B3-3F07D69303DF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47" name="Text Box 249">
          <a:extLst>
            <a:ext uri="{FF2B5EF4-FFF2-40B4-BE49-F238E27FC236}">
              <a16:creationId xmlns:a16="http://schemas.microsoft.com/office/drawing/2014/main" id="{C65090CC-FDB9-45D1-B932-D480092ED664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48" name="Text Box 249">
          <a:extLst>
            <a:ext uri="{FF2B5EF4-FFF2-40B4-BE49-F238E27FC236}">
              <a16:creationId xmlns:a16="http://schemas.microsoft.com/office/drawing/2014/main" id="{50D71145-BAD9-4C6A-A2D2-DFE380B27760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49" name="Text Box 249">
          <a:extLst>
            <a:ext uri="{FF2B5EF4-FFF2-40B4-BE49-F238E27FC236}">
              <a16:creationId xmlns:a16="http://schemas.microsoft.com/office/drawing/2014/main" id="{A356D04D-4CC8-45A5-8049-B441DE09FE38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0" name="Text Box 249">
          <a:extLst>
            <a:ext uri="{FF2B5EF4-FFF2-40B4-BE49-F238E27FC236}">
              <a16:creationId xmlns:a16="http://schemas.microsoft.com/office/drawing/2014/main" id="{241A6C9C-D6C3-4B4D-AFEC-CD73BCA43107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1" name="Text Box 249">
          <a:extLst>
            <a:ext uri="{FF2B5EF4-FFF2-40B4-BE49-F238E27FC236}">
              <a16:creationId xmlns:a16="http://schemas.microsoft.com/office/drawing/2014/main" id="{B4A2FFFF-B3C3-48CF-B2D6-B50C044DC2F1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2" name="Text Box 249">
          <a:extLst>
            <a:ext uri="{FF2B5EF4-FFF2-40B4-BE49-F238E27FC236}">
              <a16:creationId xmlns:a16="http://schemas.microsoft.com/office/drawing/2014/main" id="{2F7A4557-5EA3-40A2-8756-8DD4C8623113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3" name="Text Box 249">
          <a:extLst>
            <a:ext uri="{FF2B5EF4-FFF2-40B4-BE49-F238E27FC236}">
              <a16:creationId xmlns:a16="http://schemas.microsoft.com/office/drawing/2014/main" id="{F42F4ACC-6DD3-4343-85AF-CD828646959D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4" name="Text Box 249">
          <a:extLst>
            <a:ext uri="{FF2B5EF4-FFF2-40B4-BE49-F238E27FC236}">
              <a16:creationId xmlns:a16="http://schemas.microsoft.com/office/drawing/2014/main" id="{8E5E6388-B3A3-4577-BD54-81CEA950F015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55" name="Text Box 249">
          <a:extLst>
            <a:ext uri="{FF2B5EF4-FFF2-40B4-BE49-F238E27FC236}">
              <a16:creationId xmlns:a16="http://schemas.microsoft.com/office/drawing/2014/main" id="{D07D100F-0C00-4A79-AFBE-1F5D21672F43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56" name="Text Box 249">
          <a:extLst>
            <a:ext uri="{FF2B5EF4-FFF2-40B4-BE49-F238E27FC236}">
              <a16:creationId xmlns:a16="http://schemas.microsoft.com/office/drawing/2014/main" id="{13B3EB67-AAF6-45D0-9376-968D975AFDF3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7" name="Text Box 249">
          <a:extLst>
            <a:ext uri="{FF2B5EF4-FFF2-40B4-BE49-F238E27FC236}">
              <a16:creationId xmlns:a16="http://schemas.microsoft.com/office/drawing/2014/main" id="{3FBB8AD9-013C-40CB-AC13-076067B55E1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8" name="Text Box 249">
          <a:extLst>
            <a:ext uri="{FF2B5EF4-FFF2-40B4-BE49-F238E27FC236}">
              <a16:creationId xmlns:a16="http://schemas.microsoft.com/office/drawing/2014/main" id="{E58AEFD7-FE1C-49BA-9DA3-9C7767A7E6C3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59" name="Text Box 249">
          <a:extLst>
            <a:ext uri="{FF2B5EF4-FFF2-40B4-BE49-F238E27FC236}">
              <a16:creationId xmlns:a16="http://schemas.microsoft.com/office/drawing/2014/main" id="{D3F1C3DF-31C3-40DC-A639-26122EE37545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0" name="Text Box 249">
          <a:extLst>
            <a:ext uri="{FF2B5EF4-FFF2-40B4-BE49-F238E27FC236}">
              <a16:creationId xmlns:a16="http://schemas.microsoft.com/office/drawing/2014/main" id="{8177B1E8-3331-49B2-8FE5-052526EBB05C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1" name="Text Box 249">
          <a:extLst>
            <a:ext uri="{FF2B5EF4-FFF2-40B4-BE49-F238E27FC236}">
              <a16:creationId xmlns:a16="http://schemas.microsoft.com/office/drawing/2014/main" id="{8A741187-5C22-4257-B508-AC627FEF0A2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2" name="Text Box 249">
          <a:extLst>
            <a:ext uri="{FF2B5EF4-FFF2-40B4-BE49-F238E27FC236}">
              <a16:creationId xmlns:a16="http://schemas.microsoft.com/office/drawing/2014/main" id="{B7300765-68BB-4F8A-9A3D-E3C4F3D0489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63" name="Text Box 249">
          <a:extLst>
            <a:ext uri="{FF2B5EF4-FFF2-40B4-BE49-F238E27FC236}">
              <a16:creationId xmlns:a16="http://schemas.microsoft.com/office/drawing/2014/main" id="{67513F79-D294-4372-8642-28C2E8DC2384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64" name="Text Box 249">
          <a:extLst>
            <a:ext uri="{FF2B5EF4-FFF2-40B4-BE49-F238E27FC236}">
              <a16:creationId xmlns:a16="http://schemas.microsoft.com/office/drawing/2014/main" id="{62F87067-B0CF-440C-9BDB-382E81FB37A9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5" name="Text Box 249">
          <a:extLst>
            <a:ext uri="{FF2B5EF4-FFF2-40B4-BE49-F238E27FC236}">
              <a16:creationId xmlns:a16="http://schemas.microsoft.com/office/drawing/2014/main" id="{4E52FF35-3D96-44B7-B642-1BB42BA95639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6" name="Text Box 249">
          <a:extLst>
            <a:ext uri="{FF2B5EF4-FFF2-40B4-BE49-F238E27FC236}">
              <a16:creationId xmlns:a16="http://schemas.microsoft.com/office/drawing/2014/main" id="{A3C02390-B081-47E9-81B4-A140DE01AA9F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7" name="Text Box 249">
          <a:extLst>
            <a:ext uri="{FF2B5EF4-FFF2-40B4-BE49-F238E27FC236}">
              <a16:creationId xmlns:a16="http://schemas.microsoft.com/office/drawing/2014/main" id="{299E63B9-9ABE-43D0-B6B5-7E8828416399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8" name="Text Box 249">
          <a:extLst>
            <a:ext uri="{FF2B5EF4-FFF2-40B4-BE49-F238E27FC236}">
              <a16:creationId xmlns:a16="http://schemas.microsoft.com/office/drawing/2014/main" id="{1E48A10F-68C0-4DCE-A5C5-754F74926697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69" name="Text Box 249">
          <a:extLst>
            <a:ext uri="{FF2B5EF4-FFF2-40B4-BE49-F238E27FC236}">
              <a16:creationId xmlns:a16="http://schemas.microsoft.com/office/drawing/2014/main" id="{8C37447A-4D2C-40D9-AC97-EC6B3EC5524D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0" name="Text Box 249">
          <a:extLst>
            <a:ext uri="{FF2B5EF4-FFF2-40B4-BE49-F238E27FC236}">
              <a16:creationId xmlns:a16="http://schemas.microsoft.com/office/drawing/2014/main" id="{ED520B50-6D60-40C2-8E51-5C2E67E7FEF2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71" name="Text Box 249">
          <a:extLst>
            <a:ext uri="{FF2B5EF4-FFF2-40B4-BE49-F238E27FC236}">
              <a16:creationId xmlns:a16="http://schemas.microsoft.com/office/drawing/2014/main" id="{C5F362E8-B7ED-4089-821B-67E720215BD8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72" name="Text Box 249">
          <a:extLst>
            <a:ext uri="{FF2B5EF4-FFF2-40B4-BE49-F238E27FC236}">
              <a16:creationId xmlns:a16="http://schemas.microsoft.com/office/drawing/2014/main" id="{DA875B2C-8E7C-4C78-9B86-8606C19674B3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3" name="Text Box 249">
          <a:extLst>
            <a:ext uri="{FF2B5EF4-FFF2-40B4-BE49-F238E27FC236}">
              <a16:creationId xmlns:a16="http://schemas.microsoft.com/office/drawing/2014/main" id="{C093D524-E113-4DDD-B604-10C3AA43719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4" name="Text Box 249">
          <a:extLst>
            <a:ext uri="{FF2B5EF4-FFF2-40B4-BE49-F238E27FC236}">
              <a16:creationId xmlns:a16="http://schemas.microsoft.com/office/drawing/2014/main" id="{68C8A3DB-D33F-4F96-A541-91E14B445B5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5" name="Text Box 249">
          <a:extLst>
            <a:ext uri="{FF2B5EF4-FFF2-40B4-BE49-F238E27FC236}">
              <a16:creationId xmlns:a16="http://schemas.microsoft.com/office/drawing/2014/main" id="{86474464-98AA-41BD-B3A6-4485A01569ED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6" name="Text Box 249">
          <a:extLst>
            <a:ext uri="{FF2B5EF4-FFF2-40B4-BE49-F238E27FC236}">
              <a16:creationId xmlns:a16="http://schemas.microsoft.com/office/drawing/2014/main" id="{E93C7F82-117D-4919-BDB1-A5E0FAA6A93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7" name="Text Box 249">
          <a:extLst>
            <a:ext uri="{FF2B5EF4-FFF2-40B4-BE49-F238E27FC236}">
              <a16:creationId xmlns:a16="http://schemas.microsoft.com/office/drawing/2014/main" id="{68D53A2C-B214-4A35-8C61-8F347431EB8C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78" name="Text Box 249">
          <a:extLst>
            <a:ext uri="{FF2B5EF4-FFF2-40B4-BE49-F238E27FC236}">
              <a16:creationId xmlns:a16="http://schemas.microsoft.com/office/drawing/2014/main" id="{7A419F6A-57FE-4924-A867-A63ACC90A07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79" name="Text Box 249">
          <a:extLst>
            <a:ext uri="{FF2B5EF4-FFF2-40B4-BE49-F238E27FC236}">
              <a16:creationId xmlns:a16="http://schemas.microsoft.com/office/drawing/2014/main" id="{AD6AF229-74DF-4993-A9D8-DEC22B708C21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80" name="Text Box 249">
          <a:extLst>
            <a:ext uri="{FF2B5EF4-FFF2-40B4-BE49-F238E27FC236}">
              <a16:creationId xmlns:a16="http://schemas.microsoft.com/office/drawing/2014/main" id="{E372446E-15F4-4A0B-B3F6-6E9FAA44C90C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1" name="Text Box 249">
          <a:extLst>
            <a:ext uri="{FF2B5EF4-FFF2-40B4-BE49-F238E27FC236}">
              <a16:creationId xmlns:a16="http://schemas.microsoft.com/office/drawing/2014/main" id="{E6327F2D-4798-4B31-872E-511C40EE7395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2" name="Text Box 249">
          <a:extLst>
            <a:ext uri="{FF2B5EF4-FFF2-40B4-BE49-F238E27FC236}">
              <a16:creationId xmlns:a16="http://schemas.microsoft.com/office/drawing/2014/main" id="{307608CA-A449-4BBE-B7A4-A44088FB22E8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3" name="Text Box 249">
          <a:extLst>
            <a:ext uri="{FF2B5EF4-FFF2-40B4-BE49-F238E27FC236}">
              <a16:creationId xmlns:a16="http://schemas.microsoft.com/office/drawing/2014/main" id="{2F8DA00F-55F1-476B-8735-2BC5909F9747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4" name="Text Box 249">
          <a:extLst>
            <a:ext uri="{FF2B5EF4-FFF2-40B4-BE49-F238E27FC236}">
              <a16:creationId xmlns:a16="http://schemas.microsoft.com/office/drawing/2014/main" id="{DACCC137-882E-4B01-9B9E-5BC7450B7AF1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5" name="Text Box 249">
          <a:extLst>
            <a:ext uri="{FF2B5EF4-FFF2-40B4-BE49-F238E27FC236}">
              <a16:creationId xmlns:a16="http://schemas.microsoft.com/office/drawing/2014/main" id="{7E807025-F705-426E-81DD-26944B501426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6" name="Text Box 249">
          <a:extLst>
            <a:ext uri="{FF2B5EF4-FFF2-40B4-BE49-F238E27FC236}">
              <a16:creationId xmlns:a16="http://schemas.microsoft.com/office/drawing/2014/main" id="{3FE59C99-6AB4-4A45-BB03-A6E6352D624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87" name="Text Box 249">
          <a:extLst>
            <a:ext uri="{FF2B5EF4-FFF2-40B4-BE49-F238E27FC236}">
              <a16:creationId xmlns:a16="http://schemas.microsoft.com/office/drawing/2014/main" id="{FBB9B952-5BC1-46B0-A803-4BE8EB4B75A2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88" name="Text Box 249">
          <a:extLst>
            <a:ext uri="{FF2B5EF4-FFF2-40B4-BE49-F238E27FC236}">
              <a16:creationId xmlns:a16="http://schemas.microsoft.com/office/drawing/2014/main" id="{E60E6F06-2758-471C-BE68-8B14EF59D9D2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89" name="Text Box 249">
          <a:extLst>
            <a:ext uri="{FF2B5EF4-FFF2-40B4-BE49-F238E27FC236}">
              <a16:creationId xmlns:a16="http://schemas.microsoft.com/office/drawing/2014/main" id="{FCDAD7EE-F88A-4461-A31B-7911B8EECC21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0" name="Text Box 249">
          <a:extLst>
            <a:ext uri="{FF2B5EF4-FFF2-40B4-BE49-F238E27FC236}">
              <a16:creationId xmlns:a16="http://schemas.microsoft.com/office/drawing/2014/main" id="{4F3CAD5A-4550-4401-B67E-AEE7F074A62F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1" name="Text Box 249">
          <a:extLst>
            <a:ext uri="{FF2B5EF4-FFF2-40B4-BE49-F238E27FC236}">
              <a16:creationId xmlns:a16="http://schemas.microsoft.com/office/drawing/2014/main" id="{0FB03EBA-E745-42C7-81D3-B85B79693CAE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2" name="Text Box 249">
          <a:extLst>
            <a:ext uri="{FF2B5EF4-FFF2-40B4-BE49-F238E27FC236}">
              <a16:creationId xmlns:a16="http://schemas.microsoft.com/office/drawing/2014/main" id="{0289A06B-E980-4C6E-ADD3-001513A68EDD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3" name="Text Box 249">
          <a:extLst>
            <a:ext uri="{FF2B5EF4-FFF2-40B4-BE49-F238E27FC236}">
              <a16:creationId xmlns:a16="http://schemas.microsoft.com/office/drawing/2014/main" id="{F73ACF2A-61E9-47FB-9CD8-032AB2FB8C69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4" name="Text Box 249">
          <a:extLst>
            <a:ext uri="{FF2B5EF4-FFF2-40B4-BE49-F238E27FC236}">
              <a16:creationId xmlns:a16="http://schemas.microsoft.com/office/drawing/2014/main" id="{D5F6B9D1-5D0A-4910-82D1-B87CAC730B68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595" name="Text Box 249">
          <a:extLst>
            <a:ext uri="{FF2B5EF4-FFF2-40B4-BE49-F238E27FC236}">
              <a16:creationId xmlns:a16="http://schemas.microsoft.com/office/drawing/2014/main" id="{CF14063F-5551-48E6-A9A6-B6D802207D5C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596" name="Text Box 249">
          <a:extLst>
            <a:ext uri="{FF2B5EF4-FFF2-40B4-BE49-F238E27FC236}">
              <a16:creationId xmlns:a16="http://schemas.microsoft.com/office/drawing/2014/main" id="{AD7FBCF3-23F8-4BAF-8D2F-F9F98B6DACE0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7" name="Text Box 249">
          <a:extLst>
            <a:ext uri="{FF2B5EF4-FFF2-40B4-BE49-F238E27FC236}">
              <a16:creationId xmlns:a16="http://schemas.microsoft.com/office/drawing/2014/main" id="{63CEC573-9139-499A-8F02-95538EF04CA7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8" name="Text Box 249">
          <a:extLst>
            <a:ext uri="{FF2B5EF4-FFF2-40B4-BE49-F238E27FC236}">
              <a16:creationId xmlns:a16="http://schemas.microsoft.com/office/drawing/2014/main" id="{6712509F-7A09-441C-97C4-3E9ABE4D06DD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599" name="Text Box 249">
          <a:extLst>
            <a:ext uri="{FF2B5EF4-FFF2-40B4-BE49-F238E27FC236}">
              <a16:creationId xmlns:a16="http://schemas.microsoft.com/office/drawing/2014/main" id="{C9197C2D-3AF3-4A19-9B4E-9E2E280F5BF9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0" name="Text Box 249">
          <a:extLst>
            <a:ext uri="{FF2B5EF4-FFF2-40B4-BE49-F238E27FC236}">
              <a16:creationId xmlns:a16="http://schemas.microsoft.com/office/drawing/2014/main" id="{42684AA7-6382-459E-89F7-67C86F0B305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1" name="Text Box 249">
          <a:extLst>
            <a:ext uri="{FF2B5EF4-FFF2-40B4-BE49-F238E27FC236}">
              <a16:creationId xmlns:a16="http://schemas.microsoft.com/office/drawing/2014/main" id="{D076D64B-60D4-4AB0-81FC-ED40CCF1563C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2" name="Text Box 249">
          <a:extLst>
            <a:ext uri="{FF2B5EF4-FFF2-40B4-BE49-F238E27FC236}">
              <a16:creationId xmlns:a16="http://schemas.microsoft.com/office/drawing/2014/main" id="{290385DA-BF44-4124-9573-F0CAE3978114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03" name="Text Box 249">
          <a:extLst>
            <a:ext uri="{FF2B5EF4-FFF2-40B4-BE49-F238E27FC236}">
              <a16:creationId xmlns:a16="http://schemas.microsoft.com/office/drawing/2014/main" id="{CC720D0C-B9FD-45A5-B661-DDB1226718A5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04" name="Text Box 249">
          <a:extLst>
            <a:ext uri="{FF2B5EF4-FFF2-40B4-BE49-F238E27FC236}">
              <a16:creationId xmlns:a16="http://schemas.microsoft.com/office/drawing/2014/main" id="{3379913C-FFAF-4A2E-B270-BCCEBB53B1E1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5" name="Text Box 249">
          <a:extLst>
            <a:ext uri="{FF2B5EF4-FFF2-40B4-BE49-F238E27FC236}">
              <a16:creationId xmlns:a16="http://schemas.microsoft.com/office/drawing/2014/main" id="{E44A6668-4CAE-4DED-89A1-9D542D29CB71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6" name="Text Box 249">
          <a:extLst>
            <a:ext uri="{FF2B5EF4-FFF2-40B4-BE49-F238E27FC236}">
              <a16:creationId xmlns:a16="http://schemas.microsoft.com/office/drawing/2014/main" id="{E2D77F5E-8BE7-40B7-8E4C-9C38E59B90B8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7" name="Text Box 249">
          <a:extLst>
            <a:ext uri="{FF2B5EF4-FFF2-40B4-BE49-F238E27FC236}">
              <a16:creationId xmlns:a16="http://schemas.microsoft.com/office/drawing/2014/main" id="{B7DE15C8-A9EA-486C-9EF7-F8E32FFC7B56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8" name="Text Box 249">
          <a:extLst>
            <a:ext uri="{FF2B5EF4-FFF2-40B4-BE49-F238E27FC236}">
              <a16:creationId xmlns:a16="http://schemas.microsoft.com/office/drawing/2014/main" id="{EABF3EF1-07A9-4419-A73E-4A6D20FDC147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09" name="Text Box 249">
          <a:extLst>
            <a:ext uri="{FF2B5EF4-FFF2-40B4-BE49-F238E27FC236}">
              <a16:creationId xmlns:a16="http://schemas.microsoft.com/office/drawing/2014/main" id="{5A448DAB-059B-4358-871A-A29EEA76D7D5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0" name="Text Box 249">
          <a:extLst>
            <a:ext uri="{FF2B5EF4-FFF2-40B4-BE49-F238E27FC236}">
              <a16:creationId xmlns:a16="http://schemas.microsoft.com/office/drawing/2014/main" id="{81B929F6-80B5-4EFE-BBCE-7E02636B80F7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11" name="Text Box 249">
          <a:extLst>
            <a:ext uri="{FF2B5EF4-FFF2-40B4-BE49-F238E27FC236}">
              <a16:creationId xmlns:a16="http://schemas.microsoft.com/office/drawing/2014/main" id="{C7348B4B-2579-47E7-B47A-4FCFBFA8554F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12" name="Text Box 249">
          <a:extLst>
            <a:ext uri="{FF2B5EF4-FFF2-40B4-BE49-F238E27FC236}">
              <a16:creationId xmlns:a16="http://schemas.microsoft.com/office/drawing/2014/main" id="{94E2A2B2-80A5-40AB-BF7B-F68539BF7BDD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3" name="Text Box 249">
          <a:extLst>
            <a:ext uri="{FF2B5EF4-FFF2-40B4-BE49-F238E27FC236}">
              <a16:creationId xmlns:a16="http://schemas.microsoft.com/office/drawing/2014/main" id="{09BAD470-AB4F-4A99-BCE1-AB1A845E8E82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4" name="Text Box 249">
          <a:extLst>
            <a:ext uri="{FF2B5EF4-FFF2-40B4-BE49-F238E27FC236}">
              <a16:creationId xmlns:a16="http://schemas.microsoft.com/office/drawing/2014/main" id="{92B09EB7-CF25-40B2-9508-D8579AACB7DE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5" name="Text Box 249">
          <a:extLst>
            <a:ext uri="{FF2B5EF4-FFF2-40B4-BE49-F238E27FC236}">
              <a16:creationId xmlns:a16="http://schemas.microsoft.com/office/drawing/2014/main" id="{648EFBDD-CE40-4873-A576-0814F4FF5D1F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6" name="Text Box 249">
          <a:extLst>
            <a:ext uri="{FF2B5EF4-FFF2-40B4-BE49-F238E27FC236}">
              <a16:creationId xmlns:a16="http://schemas.microsoft.com/office/drawing/2014/main" id="{7BABF404-D55B-45FC-945C-1F0CAC82CC5F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7" name="Text Box 249">
          <a:extLst>
            <a:ext uri="{FF2B5EF4-FFF2-40B4-BE49-F238E27FC236}">
              <a16:creationId xmlns:a16="http://schemas.microsoft.com/office/drawing/2014/main" id="{3C384DFB-F07D-4D6E-B906-BA5F93FBCFBB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18" name="Text Box 249">
          <a:extLst>
            <a:ext uri="{FF2B5EF4-FFF2-40B4-BE49-F238E27FC236}">
              <a16:creationId xmlns:a16="http://schemas.microsoft.com/office/drawing/2014/main" id="{367C34C9-9D54-4A41-969D-1F7F682BE2C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19" name="Text Box 249">
          <a:extLst>
            <a:ext uri="{FF2B5EF4-FFF2-40B4-BE49-F238E27FC236}">
              <a16:creationId xmlns:a16="http://schemas.microsoft.com/office/drawing/2014/main" id="{F2756097-2B5F-470D-924A-35897499B3B2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20" name="Text Box 249">
          <a:extLst>
            <a:ext uri="{FF2B5EF4-FFF2-40B4-BE49-F238E27FC236}">
              <a16:creationId xmlns:a16="http://schemas.microsoft.com/office/drawing/2014/main" id="{164E4ABA-B574-4597-90B7-2BBCA1AD0C60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1" name="Text Box 249">
          <a:extLst>
            <a:ext uri="{FF2B5EF4-FFF2-40B4-BE49-F238E27FC236}">
              <a16:creationId xmlns:a16="http://schemas.microsoft.com/office/drawing/2014/main" id="{7A1E980A-B3D3-4D81-8221-2846D772AF3D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2" name="Text Box 249">
          <a:extLst>
            <a:ext uri="{FF2B5EF4-FFF2-40B4-BE49-F238E27FC236}">
              <a16:creationId xmlns:a16="http://schemas.microsoft.com/office/drawing/2014/main" id="{855845A6-06A7-4E15-AAA9-6CBCFC6C49DD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3" name="Text Box 249">
          <a:extLst>
            <a:ext uri="{FF2B5EF4-FFF2-40B4-BE49-F238E27FC236}">
              <a16:creationId xmlns:a16="http://schemas.microsoft.com/office/drawing/2014/main" id="{98EC42B9-4CCF-43B7-8E49-9D76F0F20DC6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4" name="Text Box 249">
          <a:extLst>
            <a:ext uri="{FF2B5EF4-FFF2-40B4-BE49-F238E27FC236}">
              <a16:creationId xmlns:a16="http://schemas.microsoft.com/office/drawing/2014/main" id="{5CBAB202-8E5A-4253-A0D7-24BB3CD63122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5" name="Text Box 249">
          <a:extLst>
            <a:ext uri="{FF2B5EF4-FFF2-40B4-BE49-F238E27FC236}">
              <a16:creationId xmlns:a16="http://schemas.microsoft.com/office/drawing/2014/main" id="{AB01AF13-C923-4D04-BC46-343470AB5B38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6" name="Text Box 249">
          <a:extLst>
            <a:ext uri="{FF2B5EF4-FFF2-40B4-BE49-F238E27FC236}">
              <a16:creationId xmlns:a16="http://schemas.microsoft.com/office/drawing/2014/main" id="{3D4A6E87-7C04-4BE8-8782-03D666D3DA55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27" name="Text Box 249">
          <a:extLst>
            <a:ext uri="{FF2B5EF4-FFF2-40B4-BE49-F238E27FC236}">
              <a16:creationId xmlns:a16="http://schemas.microsoft.com/office/drawing/2014/main" id="{3E7ED8B0-A745-4C77-B45E-1E9C56AE1A67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28" name="Text Box 249">
          <a:extLst>
            <a:ext uri="{FF2B5EF4-FFF2-40B4-BE49-F238E27FC236}">
              <a16:creationId xmlns:a16="http://schemas.microsoft.com/office/drawing/2014/main" id="{9E770B4C-6F23-46F1-A93C-F8FDA0058884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29" name="Text Box 249">
          <a:extLst>
            <a:ext uri="{FF2B5EF4-FFF2-40B4-BE49-F238E27FC236}">
              <a16:creationId xmlns:a16="http://schemas.microsoft.com/office/drawing/2014/main" id="{6897E268-16A5-413C-B45F-421F0B99AA14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0" name="Text Box 249">
          <a:extLst>
            <a:ext uri="{FF2B5EF4-FFF2-40B4-BE49-F238E27FC236}">
              <a16:creationId xmlns:a16="http://schemas.microsoft.com/office/drawing/2014/main" id="{FC058348-F3D0-43A0-BCB0-05DE8460ED93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1" name="Text Box 249">
          <a:extLst>
            <a:ext uri="{FF2B5EF4-FFF2-40B4-BE49-F238E27FC236}">
              <a16:creationId xmlns:a16="http://schemas.microsoft.com/office/drawing/2014/main" id="{D4DF0CB7-776E-4C52-9841-AF30F8D84F4B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2" name="Text Box 249">
          <a:extLst>
            <a:ext uri="{FF2B5EF4-FFF2-40B4-BE49-F238E27FC236}">
              <a16:creationId xmlns:a16="http://schemas.microsoft.com/office/drawing/2014/main" id="{93619E90-745E-43F1-969B-393F42AD291C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3" name="Text Box 249">
          <a:extLst>
            <a:ext uri="{FF2B5EF4-FFF2-40B4-BE49-F238E27FC236}">
              <a16:creationId xmlns:a16="http://schemas.microsoft.com/office/drawing/2014/main" id="{AC0C4FB1-4181-48D6-B191-B54043E3E784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4" name="Text Box 249">
          <a:extLst>
            <a:ext uri="{FF2B5EF4-FFF2-40B4-BE49-F238E27FC236}">
              <a16:creationId xmlns:a16="http://schemas.microsoft.com/office/drawing/2014/main" id="{60AB8017-8950-41F3-B145-8E9A6820210E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35" name="Text Box 249">
          <a:extLst>
            <a:ext uri="{FF2B5EF4-FFF2-40B4-BE49-F238E27FC236}">
              <a16:creationId xmlns:a16="http://schemas.microsoft.com/office/drawing/2014/main" id="{F6878620-8E58-4FF4-82C2-A7EAE334C95D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36" name="Text Box 249">
          <a:extLst>
            <a:ext uri="{FF2B5EF4-FFF2-40B4-BE49-F238E27FC236}">
              <a16:creationId xmlns:a16="http://schemas.microsoft.com/office/drawing/2014/main" id="{EFB536A1-AD65-4870-9E0D-F6FAA551A76A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7" name="Text Box 249">
          <a:extLst>
            <a:ext uri="{FF2B5EF4-FFF2-40B4-BE49-F238E27FC236}">
              <a16:creationId xmlns:a16="http://schemas.microsoft.com/office/drawing/2014/main" id="{39E659DE-C3C6-4EE4-B2A2-51D29C156874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8" name="Text Box 249">
          <a:extLst>
            <a:ext uri="{FF2B5EF4-FFF2-40B4-BE49-F238E27FC236}">
              <a16:creationId xmlns:a16="http://schemas.microsoft.com/office/drawing/2014/main" id="{C936C1E6-7FF3-4BF7-A2F4-A0C0A91CFAF6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39" name="Text Box 249">
          <a:extLst>
            <a:ext uri="{FF2B5EF4-FFF2-40B4-BE49-F238E27FC236}">
              <a16:creationId xmlns:a16="http://schemas.microsoft.com/office/drawing/2014/main" id="{F7F10749-F896-4575-AF4F-067AF75A5D06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0" name="Text Box 249">
          <a:extLst>
            <a:ext uri="{FF2B5EF4-FFF2-40B4-BE49-F238E27FC236}">
              <a16:creationId xmlns:a16="http://schemas.microsoft.com/office/drawing/2014/main" id="{0A1EF698-A9EA-4254-9745-4C1652337DF5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1" name="Text Box 249">
          <a:extLst>
            <a:ext uri="{FF2B5EF4-FFF2-40B4-BE49-F238E27FC236}">
              <a16:creationId xmlns:a16="http://schemas.microsoft.com/office/drawing/2014/main" id="{0786A333-52B1-4177-B8A3-2533DB95ABF1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2" name="Text Box 249">
          <a:extLst>
            <a:ext uri="{FF2B5EF4-FFF2-40B4-BE49-F238E27FC236}">
              <a16:creationId xmlns:a16="http://schemas.microsoft.com/office/drawing/2014/main" id="{906152D7-2618-43B4-B724-8D9D0F6CE948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43" name="Text Box 249">
          <a:extLst>
            <a:ext uri="{FF2B5EF4-FFF2-40B4-BE49-F238E27FC236}">
              <a16:creationId xmlns:a16="http://schemas.microsoft.com/office/drawing/2014/main" id="{FF77E350-07E6-4B48-8543-56D7C567E658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44" name="Text Box 249">
          <a:extLst>
            <a:ext uri="{FF2B5EF4-FFF2-40B4-BE49-F238E27FC236}">
              <a16:creationId xmlns:a16="http://schemas.microsoft.com/office/drawing/2014/main" id="{F8D6C3AA-167B-40B8-B2C4-848E0316A4E8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5" name="Text Box 249">
          <a:extLst>
            <a:ext uri="{FF2B5EF4-FFF2-40B4-BE49-F238E27FC236}">
              <a16:creationId xmlns:a16="http://schemas.microsoft.com/office/drawing/2014/main" id="{221993B5-E85C-461C-A442-C57009987D41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6" name="Text Box 249">
          <a:extLst>
            <a:ext uri="{FF2B5EF4-FFF2-40B4-BE49-F238E27FC236}">
              <a16:creationId xmlns:a16="http://schemas.microsoft.com/office/drawing/2014/main" id="{3F3F0223-FBB7-43D1-849F-812E75B5749A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7" name="Text Box 249">
          <a:extLst>
            <a:ext uri="{FF2B5EF4-FFF2-40B4-BE49-F238E27FC236}">
              <a16:creationId xmlns:a16="http://schemas.microsoft.com/office/drawing/2014/main" id="{A890C66D-CBDA-4ABC-B103-E63047EE8036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8" name="Text Box 249">
          <a:extLst>
            <a:ext uri="{FF2B5EF4-FFF2-40B4-BE49-F238E27FC236}">
              <a16:creationId xmlns:a16="http://schemas.microsoft.com/office/drawing/2014/main" id="{5889E1E7-7E30-4CD0-A69E-0D27254CF4FA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49" name="Text Box 249">
          <a:extLst>
            <a:ext uri="{FF2B5EF4-FFF2-40B4-BE49-F238E27FC236}">
              <a16:creationId xmlns:a16="http://schemas.microsoft.com/office/drawing/2014/main" id="{439F5642-96E1-4312-9330-292ACB723C6D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0" name="Text Box 249">
          <a:extLst>
            <a:ext uri="{FF2B5EF4-FFF2-40B4-BE49-F238E27FC236}">
              <a16:creationId xmlns:a16="http://schemas.microsoft.com/office/drawing/2014/main" id="{0BDB97B6-111D-4447-A6DA-8094E04E866C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51" name="Text Box 249">
          <a:extLst>
            <a:ext uri="{FF2B5EF4-FFF2-40B4-BE49-F238E27FC236}">
              <a16:creationId xmlns:a16="http://schemas.microsoft.com/office/drawing/2014/main" id="{C5169890-FAED-46BB-A569-8F15AF7CAC14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52" name="Text Box 249">
          <a:extLst>
            <a:ext uri="{FF2B5EF4-FFF2-40B4-BE49-F238E27FC236}">
              <a16:creationId xmlns:a16="http://schemas.microsoft.com/office/drawing/2014/main" id="{2D7CE4BF-73A2-472F-9616-3D36F41781EF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3" name="Text Box 249">
          <a:extLst>
            <a:ext uri="{FF2B5EF4-FFF2-40B4-BE49-F238E27FC236}">
              <a16:creationId xmlns:a16="http://schemas.microsoft.com/office/drawing/2014/main" id="{7D59D35C-268F-400E-98F5-B20E169D2EC8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4" name="Text Box 249">
          <a:extLst>
            <a:ext uri="{FF2B5EF4-FFF2-40B4-BE49-F238E27FC236}">
              <a16:creationId xmlns:a16="http://schemas.microsoft.com/office/drawing/2014/main" id="{1DBDCEBC-8798-422E-8DF9-E512E67FDD0D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5" name="Text Box 249">
          <a:extLst>
            <a:ext uri="{FF2B5EF4-FFF2-40B4-BE49-F238E27FC236}">
              <a16:creationId xmlns:a16="http://schemas.microsoft.com/office/drawing/2014/main" id="{56849371-A82B-4BE0-AD14-92B1A5277CAF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6" name="Text Box 249">
          <a:extLst>
            <a:ext uri="{FF2B5EF4-FFF2-40B4-BE49-F238E27FC236}">
              <a16:creationId xmlns:a16="http://schemas.microsoft.com/office/drawing/2014/main" id="{36651116-3F78-40F4-BCBA-11C370F21E00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7" name="Text Box 249">
          <a:extLst>
            <a:ext uri="{FF2B5EF4-FFF2-40B4-BE49-F238E27FC236}">
              <a16:creationId xmlns:a16="http://schemas.microsoft.com/office/drawing/2014/main" id="{90CC95DA-4E15-471D-876C-28755F41083F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58" name="Text Box 249">
          <a:extLst>
            <a:ext uri="{FF2B5EF4-FFF2-40B4-BE49-F238E27FC236}">
              <a16:creationId xmlns:a16="http://schemas.microsoft.com/office/drawing/2014/main" id="{CA3998A7-71DC-4028-AB55-FCE947140048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59" name="Text Box 249">
          <a:extLst>
            <a:ext uri="{FF2B5EF4-FFF2-40B4-BE49-F238E27FC236}">
              <a16:creationId xmlns:a16="http://schemas.microsoft.com/office/drawing/2014/main" id="{D3CCE0B0-AB5A-4F04-9515-03C0633AEFC2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17326" cy="218324"/>
    <xdr:sp macro="" textlink="">
      <xdr:nvSpPr>
        <xdr:cNvPr id="660" name="Text Box 249">
          <a:extLst>
            <a:ext uri="{FF2B5EF4-FFF2-40B4-BE49-F238E27FC236}">
              <a16:creationId xmlns:a16="http://schemas.microsoft.com/office/drawing/2014/main" id="{173F90AD-1F84-4DBA-B465-EA7C272F974D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1" name="Text Box 249">
          <a:extLst>
            <a:ext uri="{FF2B5EF4-FFF2-40B4-BE49-F238E27FC236}">
              <a16:creationId xmlns:a16="http://schemas.microsoft.com/office/drawing/2014/main" id="{E9ECB41F-0765-4250-AAB6-DBAC9479553B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2" name="Text Box 249">
          <a:extLst>
            <a:ext uri="{FF2B5EF4-FFF2-40B4-BE49-F238E27FC236}">
              <a16:creationId xmlns:a16="http://schemas.microsoft.com/office/drawing/2014/main" id="{EC68CDDA-D13B-4BB3-AD43-B1333E2BFFB2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3" name="Text Box 249">
          <a:extLst>
            <a:ext uri="{FF2B5EF4-FFF2-40B4-BE49-F238E27FC236}">
              <a16:creationId xmlns:a16="http://schemas.microsoft.com/office/drawing/2014/main" id="{350CE6B9-7E4F-4074-ADE1-DAFA93C25099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4" name="Text Box 249">
          <a:extLst>
            <a:ext uri="{FF2B5EF4-FFF2-40B4-BE49-F238E27FC236}">
              <a16:creationId xmlns:a16="http://schemas.microsoft.com/office/drawing/2014/main" id="{EE3093E0-59DD-40D8-A1F0-09EB0545CA9E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5" name="Text Box 249">
          <a:extLst>
            <a:ext uri="{FF2B5EF4-FFF2-40B4-BE49-F238E27FC236}">
              <a16:creationId xmlns:a16="http://schemas.microsoft.com/office/drawing/2014/main" id="{CE97FA80-0F59-4D6B-A3B8-1C6056A3BDF4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678</xdr:row>
      <xdr:rowOff>0</xdr:rowOff>
    </xdr:from>
    <xdr:ext cx="104775" cy="208801"/>
    <xdr:sp macro="" textlink="">
      <xdr:nvSpPr>
        <xdr:cNvPr id="666" name="Text Box 249">
          <a:extLst>
            <a:ext uri="{FF2B5EF4-FFF2-40B4-BE49-F238E27FC236}">
              <a16:creationId xmlns:a16="http://schemas.microsoft.com/office/drawing/2014/main" id="{FF33F7FA-4E8A-4587-B9BA-B91320489E9B}"/>
            </a:ext>
          </a:extLst>
        </xdr:cNvPr>
        <xdr:cNvSpPr txBox="1">
          <a:spLocks noChangeArrowheads="1"/>
        </xdr:cNvSpPr>
      </xdr:nvSpPr>
      <xdr:spPr bwMode="auto">
        <a:xfrm>
          <a:off x="9555480" y="115328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678</xdr:row>
      <xdr:rowOff>0</xdr:rowOff>
    </xdr:from>
    <xdr:ext cx="104775" cy="210011"/>
    <xdr:sp macro="" textlink="">
      <xdr:nvSpPr>
        <xdr:cNvPr id="667" name="Text Box 249">
          <a:extLst>
            <a:ext uri="{FF2B5EF4-FFF2-40B4-BE49-F238E27FC236}">
              <a16:creationId xmlns:a16="http://schemas.microsoft.com/office/drawing/2014/main" id="{F7060FCD-CE67-469A-A431-32D58ACAE130}"/>
            </a:ext>
          </a:extLst>
        </xdr:cNvPr>
        <xdr:cNvSpPr txBox="1">
          <a:spLocks noChangeArrowheads="1"/>
        </xdr:cNvSpPr>
      </xdr:nvSpPr>
      <xdr:spPr bwMode="auto">
        <a:xfrm>
          <a:off x="9558020" y="115328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567</xdr:row>
      <xdr:rowOff>0</xdr:rowOff>
    </xdr:from>
    <xdr:ext cx="117326" cy="218324"/>
    <xdr:sp macro="" textlink="">
      <xdr:nvSpPr>
        <xdr:cNvPr id="668" name="Text Box 249">
          <a:extLst>
            <a:ext uri="{FF2B5EF4-FFF2-40B4-BE49-F238E27FC236}">
              <a16:creationId xmlns:a16="http://schemas.microsoft.com/office/drawing/2014/main" id="{E3C535AF-AAB6-4F1A-A169-8385FD6064C2}"/>
            </a:ext>
          </a:extLst>
        </xdr:cNvPr>
        <xdr:cNvSpPr txBox="1">
          <a:spLocks noChangeArrowheads="1"/>
        </xdr:cNvSpPr>
      </xdr:nvSpPr>
      <xdr:spPr bwMode="auto">
        <a:xfrm>
          <a:off x="9558020" y="965835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69" name="Text Box 249">
          <a:extLst>
            <a:ext uri="{FF2B5EF4-FFF2-40B4-BE49-F238E27FC236}">
              <a16:creationId xmlns:a16="http://schemas.microsoft.com/office/drawing/2014/main" id="{DDD9E6B6-CD62-43A9-A99C-63584FD3ED57}"/>
            </a:ext>
          </a:extLst>
        </xdr:cNvPr>
        <xdr:cNvSpPr txBox="1">
          <a:spLocks noChangeArrowheads="1"/>
        </xdr:cNvSpPr>
      </xdr:nvSpPr>
      <xdr:spPr bwMode="auto">
        <a:xfrm>
          <a:off x="9555480" y="96583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70" name="Text Box 249">
          <a:extLst>
            <a:ext uri="{FF2B5EF4-FFF2-40B4-BE49-F238E27FC236}">
              <a16:creationId xmlns:a16="http://schemas.microsoft.com/office/drawing/2014/main" id="{62CFAB3E-4ED9-47DE-91CA-B541643A03B5}"/>
            </a:ext>
          </a:extLst>
        </xdr:cNvPr>
        <xdr:cNvSpPr txBox="1">
          <a:spLocks noChangeArrowheads="1"/>
        </xdr:cNvSpPr>
      </xdr:nvSpPr>
      <xdr:spPr bwMode="auto">
        <a:xfrm>
          <a:off x="9555480" y="96583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71" name="Text Box 249">
          <a:extLst>
            <a:ext uri="{FF2B5EF4-FFF2-40B4-BE49-F238E27FC236}">
              <a16:creationId xmlns:a16="http://schemas.microsoft.com/office/drawing/2014/main" id="{7B8970F3-D5EC-4395-ACEB-FEE01DD7AD2F}"/>
            </a:ext>
          </a:extLst>
        </xdr:cNvPr>
        <xdr:cNvSpPr txBox="1">
          <a:spLocks noChangeArrowheads="1"/>
        </xdr:cNvSpPr>
      </xdr:nvSpPr>
      <xdr:spPr bwMode="auto">
        <a:xfrm>
          <a:off x="9555480" y="96583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72" name="Text Box 249">
          <a:extLst>
            <a:ext uri="{FF2B5EF4-FFF2-40B4-BE49-F238E27FC236}">
              <a16:creationId xmlns:a16="http://schemas.microsoft.com/office/drawing/2014/main" id="{C3E1FF39-9ACD-4A0A-B610-41CB48DE3A4B}"/>
            </a:ext>
          </a:extLst>
        </xdr:cNvPr>
        <xdr:cNvSpPr txBox="1">
          <a:spLocks noChangeArrowheads="1"/>
        </xdr:cNvSpPr>
      </xdr:nvSpPr>
      <xdr:spPr bwMode="auto">
        <a:xfrm>
          <a:off x="9555480" y="96583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73" name="Text Box 249">
          <a:extLst>
            <a:ext uri="{FF2B5EF4-FFF2-40B4-BE49-F238E27FC236}">
              <a16:creationId xmlns:a16="http://schemas.microsoft.com/office/drawing/2014/main" id="{AA829DEF-3A00-453A-B243-6C846FB6C154}"/>
            </a:ext>
          </a:extLst>
        </xdr:cNvPr>
        <xdr:cNvSpPr txBox="1">
          <a:spLocks noChangeArrowheads="1"/>
        </xdr:cNvSpPr>
      </xdr:nvSpPr>
      <xdr:spPr bwMode="auto">
        <a:xfrm>
          <a:off x="9555480" y="96583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567</xdr:row>
      <xdr:rowOff>0</xdr:rowOff>
    </xdr:from>
    <xdr:ext cx="104775" cy="208801"/>
    <xdr:sp macro="" textlink="">
      <xdr:nvSpPr>
        <xdr:cNvPr id="674" name="Text Box 249">
          <a:extLst>
            <a:ext uri="{FF2B5EF4-FFF2-40B4-BE49-F238E27FC236}">
              <a16:creationId xmlns:a16="http://schemas.microsoft.com/office/drawing/2014/main" id="{6E996829-8B85-4BAE-BF7D-DE82118A26F4}"/>
            </a:ext>
          </a:extLst>
        </xdr:cNvPr>
        <xdr:cNvSpPr txBox="1">
          <a:spLocks noChangeArrowheads="1"/>
        </xdr:cNvSpPr>
      </xdr:nvSpPr>
      <xdr:spPr bwMode="auto">
        <a:xfrm>
          <a:off x="9555480" y="965835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572</xdr:row>
      <xdr:rowOff>0</xdr:rowOff>
    </xdr:from>
    <xdr:ext cx="117326" cy="218324"/>
    <xdr:sp macro="" textlink="">
      <xdr:nvSpPr>
        <xdr:cNvPr id="675" name="Text Box 249">
          <a:extLst>
            <a:ext uri="{FF2B5EF4-FFF2-40B4-BE49-F238E27FC236}">
              <a16:creationId xmlns:a16="http://schemas.microsoft.com/office/drawing/2014/main" id="{143E9AA4-A995-4B55-B709-4C799B03BE6A}"/>
            </a:ext>
          </a:extLst>
        </xdr:cNvPr>
        <xdr:cNvSpPr txBox="1">
          <a:spLocks noChangeArrowheads="1"/>
        </xdr:cNvSpPr>
      </xdr:nvSpPr>
      <xdr:spPr bwMode="auto">
        <a:xfrm>
          <a:off x="9558020" y="9742170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76" name="Text Box 249">
          <a:extLst>
            <a:ext uri="{FF2B5EF4-FFF2-40B4-BE49-F238E27FC236}">
              <a16:creationId xmlns:a16="http://schemas.microsoft.com/office/drawing/2014/main" id="{78356C51-C984-41A6-8E5A-1DCA885052D1}"/>
            </a:ext>
          </a:extLst>
        </xdr:cNvPr>
        <xdr:cNvSpPr txBox="1">
          <a:spLocks noChangeArrowheads="1"/>
        </xdr:cNvSpPr>
      </xdr:nvSpPr>
      <xdr:spPr bwMode="auto">
        <a:xfrm>
          <a:off x="9555480" y="97421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77" name="Text Box 249">
          <a:extLst>
            <a:ext uri="{FF2B5EF4-FFF2-40B4-BE49-F238E27FC236}">
              <a16:creationId xmlns:a16="http://schemas.microsoft.com/office/drawing/2014/main" id="{2668B297-51FF-4FD1-BAAE-F434B3CE8706}"/>
            </a:ext>
          </a:extLst>
        </xdr:cNvPr>
        <xdr:cNvSpPr txBox="1">
          <a:spLocks noChangeArrowheads="1"/>
        </xdr:cNvSpPr>
      </xdr:nvSpPr>
      <xdr:spPr bwMode="auto">
        <a:xfrm>
          <a:off x="9555480" y="97421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78" name="Text Box 249">
          <a:extLst>
            <a:ext uri="{FF2B5EF4-FFF2-40B4-BE49-F238E27FC236}">
              <a16:creationId xmlns:a16="http://schemas.microsoft.com/office/drawing/2014/main" id="{95BC676F-2670-4ECF-BE0E-6C7B4C13A443}"/>
            </a:ext>
          </a:extLst>
        </xdr:cNvPr>
        <xdr:cNvSpPr txBox="1">
          <a:spLocks noChangeArrowheads="1"/>
        </xdr:cNvSpPr>
      </xdr:nvSpPr>
      <xdr:spPr bwMode="auto">
        <a:xfrm>
          <a:off x="9555480" y="97421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79" name="Text Box 249">
          <a:extLst>
            <a:ext uri="{FF2B5EF4-FFF2-40B4-BE49-F238E27FC236}">
              <a16:creationId xmlns:a16="http://schemas.microsoft.com/office/drawing/2014/main" id="{FA476C75-20F4-4BB0-BD3E-464D41F1F469}"/>
            </a:ext>
          </a:extLst>
        </xdr:cNvPr>
        <xdr:cNvSpPr txBox="1">
          <a:spLocks noChangeArrowheads="1"/>
        </xdr:cNvSpPr>
      </xdr:nvSpPr>
      <xdr:spPr bwMode="auto">
        <a:xfrm>
          <a:off x="9555480" y="97421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80" name="Text Box 249">
          <a:extLst>
            <a:ext uri="{FF2B5EF4-FFF2-40B4-BE49-F238E27FC236}">
              <a16:creationId xmlns:a16="http://schemas.microsoft.com/office/drawing/2014/main" id="{C57939EB-EDF4-485F-9A75-562032B2992E}"/>
            </a:ext>
          </a:extLst>
        </xdr:cNvPr>
        <xdr:cNvSpPr txBox="1">
          <a:spLocks noChangeArrowheads="1"/>
        </xdr:cNvSpPr>
      </xdr:nvSpPr>
      <xdr:spPr bwMode="auto">
        <a:xfrm>
          <a:off x="9555480" y="97421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572</xdr:row>
      <xdr:rowOff>0</xdr:rowOff>
    </xdr:from>
    <xdr:ext cx="104775" cy="208801"/>
    <xdr:sp macro="" textlink="">
      <xdr:nvSpPr>
        <xdr:cNvPr id="681" name="Text Box 249">
          <a:extLst>
            <a:ext uri="{FF2B5EF4-FFF2-40B4-BE49-F238E27FC236}">
              <a16:creationId xmlns:a16="http://schemas.microsoft.com/office/drawing/2014/main" id="{07714D79-20AF-4F59-80BC-D561DED630E7}"/>
            </a:ext>
          </a:extLst>
        </xdr:cNvPr>
        <xdr:cNvSpPr txBox="1">
          <a:spLocks noChangeArrowheads="1"/>
        </xdr:cNvSpPr>
      </xdr:nvSpPr>
      <xdr:spPr bwMode="auto">
        <a:xfrm>
          <a:off x="9555480" y="9742170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572</xdr:row>
      <xdr:rowOff>0</xdr:rowOff>
    </xdr:from>
    <xdr:ext cx="104775" cy="210011"/>
    <xdr:sp macro="" textlink="">
      <xdr:nvSpPr>
        <xdr:cNvPr id="682" name="Text Box 249">
          <a:extLst>
            <a:ext uri="{FF2B5EF4-FFF2-40B4-BE49-F238E27FC236}">
              <a16:creationId xmlns:a16="http://schemas.microsoft.com/office/drawing/2014/main" id="{EE6422CD-1413-4F97-9ACF-2EECB290E988}"/>
            </a:ext>
          </a:extLst>
        </xdr:cNvPr>
        <xdr:cNvSpPr txBox="1">
          <a:spLocks noChangeArrowheads="1"/>
        </xdr:cNvSpPr>
      </xdr:nvSpPr>
      <xdr:spPr bwMode="auto">
        <a:xfrm>
          <a:off x="9558020" y="9742170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568</xdr:row>
      <xdr:rowOff>0</xdr:rowOff>
    </xdr:from>
    <xdr:ext cx="117326" cy="218324"/>
    <xdr:sp macro="" textlink="">
      <xdr:nvSpPr>
        <xdr:cNvPr id="683" name="Text Box 249">
          <a:extLst>
            <a:ext uri="{FF2B5EF4-FFF2-40B4-BE49-F238E27FC236}">
              <a16:creationId xmlns:a16="http://schemas.microsoft.com/office/drawing/2014/main" id="{F95AC824-0E30-4F63-95B8-9D7620E24272}"/>
            </a:ext>
          </a:extLst>
        </xdr:cNvPr>
        <xdr:cNvSpPr txBox="1">
          <a:spLocks noChangeArrowheads="1"/>
        </xdr:cNvSpPr>
      </xdr:nvSpPr>
      <xdr:spPr bwMode="auto">
        <a:xfrm>
          <a:off x="9558020" y="967511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4" name="Text Box 249">
          <a:extLst>
            <a:ext uri="{FF2B5EF4-FFF2-40B4-BE49-F238E27FC236}">
              <a16:creationId xmlns:a16="http://schemas.microsoft.com/office/drawing/2014/main" id="{DA8B8BE4-6617-48C8-9E0B-5599530794B6}"/>
            </a:ext>
          </a:extLst>
        </xdr:cNvPr>
        <xdr:cNvSpPr txBox="1">
          <a:spLocks noChangeArrowheads="1"/>
        </xdr:cNvSpPr>
      </xdr:nvSpPr>
      <xdr:spPr bwMode="auto">
        <a:xfrm>
          <a:off x="9555480" y="96751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5" name="Text Box 249">
          <a:extLst>
            <a:ext uri="{FF2B5EF4-FFF2-40B4-BE49-F238E27FC236}">
              <a16:creationId xmlns:a16="http://schemas.microsoft.com/office/drawing/2014/main" id="{CABA3032-002A-4A28-BB22-BA82C2CFCF99}"/>
            </a:ext>
          </a:extLst>
        </xdr:cNvPr>
        <xdr:cNvSpPr txBox="1">
          <a:spLocks noChangeArrowheads="1"/>
        </xdr:cNvSpPr>
      </xdr:nvSpPr>
      <xdr:spPr bwMode="auto">
        <a:xfrm>
          <a:off x="9555480" y="96751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6" name="Text Box 249">
          <a:extLst>
            <a:ext uri="{FF2B5EF4-FFF2-40B4-BE49-F238E27FC236}">
              <a16:creationId xmlns:a16="http://schemas.microsoft.com/office/drawing/2014/main" id="{C5FD6C7A-0BC9-41A8-A369-06E8112C1A2E}"/>
            </a:ext>
          </a:extLst>
        </xdr:cNvPr>
        <xdr:cNvSpPr txBox="1">
          <a:spLocks noChangeArrowheads="1"/>
        </xdr:cNvSpPr>
      </xdr:nvSpPr>
      <xdr:spPr bwMode="auto">
        <a:xfrm>
          <a:off x="9555480" y="96751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7" name="Text Box 249">
          <a:extLst>
            <a:ext uri="{FF2B5EF4-FFF2-40B4-BE49-F238E27FC236}">
              <a16:creationId xmlns:a16="http://schemas.microsoft.com/office/drawing/2014/main" id="{EE4592DB-2362-45EF-A038-08FCFB99EEBA}"/>
            </a:ext>
          </a:extLst>
        </xdr:cNvPr>
        <xdr:cNvSpPr txBox="1">
          <a:spLocks noChangeArrowheads="1"/>
        </xdr:cNvSpPr>
      </xdr:nvSpPr>
      <xdr:spPr bwMode="auto">
        <a:xfrm>
          <a:off x="9555480" y="96751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8" name="Text Box 249">
          <a:extLst>
            <a:ext uri="{FF2B5EF4-FFF2-40B4-BE49-F238E27FC236}">
              <a16:creationId xmlns:a16="http://schemas.microsoft.com/office/drawing/2014/main" id="{A83A1437-9B49-484E-AF07-37F5741DA62F}"/>
            </a:ext>
          </a:extLst>
        </xdr:cNvPr>
        <xdr:cNvSpPr txBox="1">
          <a:spLocks noChangeArrowheads="1"/>
        </xdr:cNvSpPr>
      </xdr:nvSpPr>
      <xdr:spPr bwMode="auto">
        <a:xfrm>
          <a:off x="9555480" y="96751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568</xdr:row>
      <xdr:rowOff>0</xdr:rowOff>
    </xdr:from>
    <xdr:ext cx="104775" cy="208801"/>
    <xdr:sp macro="" textlink="">
      <xdr:nvSpPr>
        <xdr:cNvPr id="689" name="Text Box 249">
          <a:extLst>
            <a:ext uri="{FF2B5EF4-FFF2-40B4-BE49-F238E27FC236}">
              <a16:creationId xmlns:a16="http://schemas.microsoft.com/office/drawing/2014/main" id="{E3621FED-8195-4FA8-B0B7-708818A2F555}"/>
            </a:ext>
          </a:extLst>
        </xdr:cNvPr>
        <xdr:cNvSpPr txBox="1">
          <a:spLocks noChangeArrowheads="1"/>
        </xdr:cNvSpPr>
      </xdr:nvSpPr>
      <xdr:spPr bwMode="auto">
        <a:xfrm>
          <a:off x="9555480" y="96751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568</xdr:row>
      <xdr:rowOff>0</xdr:rowOff>
    </xdr:from>
    <xdr:ext cx="104775" cy="210011"/>
    <xdr:sp macro="" textlink="">
      <xdr:nvSpPr>
        <xdr:cNvPr id="690" name="Text Box 249">
          <a:extLst>
            <a:ext uri="{FF2B5EF4-FFF2-40B4-BE49-F238E27FC236}">
              <a16:creationId xmlns:a16="http://schemas.microsoft.com/office/drawing/2014/main" id="{CB84A032-0E23-4FF3-8405-196B777007C0}"/>
            </a:ext>
          </a:extLst>
        </xdr:cNvPr>
        <xdr:cNvSpPr txBox="1">
          <a:spLocks noChangeArrowheads="1"/>
        </xdr:cNvSpPr>
      </xdr:nvSpPr>
      <xdr:spPr bwMode="auto">
        <a:xfrm>
          <a:off x="9558020" y="967511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569</xdr:row>
      <xdr:rowOff>0</xdr:rowOff>
    </xdr:from>
    <xdr:ext cx="117326" cy="218324"/>
    <xdr:sp macro="" textlink="">
      <xdr:nvSpPr>
        <xdr:cNvPr id="691" name="Text Box 249">
          <a:extLst>
            <a:ext uri="{FF2B5EF4-FFF2-40B4-BE49-F238E27FC236}">
              <a16:creationId xmlns:a16="http://schemas.microsoft.com/office/drawing/2014/main" id="{2B18D672-BC30-4C8D-AD0A-332DF7D24E9C}"/>
            </a:ext>
          </a:extLst>
        </xdr:cNvPr>
        <xdr:cNvSpPr txBox="1">
          <a:spLocks noChangeArrowheads="1"/>
        </xdr:cNvSpPr>
      </xdr:nvSpPr>
      <xdr:spPr bwMode="auto">
        <a:xfrm>
          <a:off x="9558020" y="969187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2" name="Text Box 249">
          <a:extLst>
            <a:ext uri="{FF2B5EF4-FFF2-40B4-BE49-F238E27FC236}">
              <a16:creationId xmlns:a16="http://schemas.microsoft.com/office/drawing/2014/main" id="{55AB2C18-6C16-4E47-B199-EAECDC6FDE87}"/>
            </a:ext>
          </a:extLst>
        </xdr:cNvPr>
        <xdr:cNvSpPr txBox="1">
          <a:spLocks noChangeArrowheads="1"/>
        </xdr:cNvSpPr>
      </xdr:nvSpPr>
      <xdr:spPr bwMode="auto">
        <a:xfrm>
          <a:off x="9555480" y="96918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3" name="Text Box 249">
          <a:extLst>
            <a:ext uri="{FF2B5EF4-FFF2-40B4-BE49-F238E27FC236}">
              <a16:creationId xmlns:a16="http://schemas.microsoft.com/office/drawing/2014/main" id="{24D44CD7-97BA-4D65-A28B-3E31294209F6}"/>
            </a:ext>
          </a:extLst>
        </xdr:cNvPr>
        <xdr:cNvSpPr txBox="1">
          <a:spLocks noChangeArrowheads="1"/>
        </xdr:cNvSpPr>
      </xdr:nvSpPr>
      <xdr:spPr bwMode="auto">
        <a:xfrm>
          <a:off x="9555480" y="96918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4" name="Text Box 249">
          <a:extLst>
            <a:ext uri="{FF2B5EF4-FFF2-40B4-BE49-F238E27FC236}">
              <a16:creationId xmlns:a16="http://schemas.microsoft.com/office/drawing/2014/main" id="{FA77EA26-3C68-4786-9787-6AC0F01689DD}"/>
            </a:ext>
          </a:extLst>
        </xdr:cNvPr>
        <xdr:cNvSpPr txBox="1">
          <a:spLocks noChangeArrowheads="1"/>
        </xdr:cNvSpPr>
      </xdr:nvSpPr>
      <xdr:spPr bwMode="auto">
        <a:xfrm>
          <a:off x="9555480" y="96918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5" name="Text Box 249">
          <a:extLst>
            <a:ext uri="{FF2B5EF4-FFF2-40B4-BE49-F238E27FC236}">
              <a16:creationId xmlns:a16="http://schemas.microsoft.com/office/drawing/2014/main" id="{D76A3F49-9116-4E5C-B45A-2F5BA2D54BEA}"/>
            </a:ext>
          </a:extLst>
        </xdr:cNvPr>
        <xdr:cNvSpPr txBox="1">
          <a:spLocks noChangeArrowheads="1"/>
        </xdr:cNvSpPr>
      </xdr:nvSpPr>
      <xdr:spPr bwMode="auto">
        <a:xfrm>
          <a:off x="9555480" y="96918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6" name="Text Box 249">
          <a:extLst>
            <a:ext uri="{FF2B5EF4-FFF2-40B4-BE49-F238E27FC236}">
              <a16:creationId xmlns:a16="http://schemas.microsoft.com/office/drawing/2014/main" id="{9B8C6F70-5B10-4FD6-9E9D-B70E1A7ACB01}"/>
            </a:ext>
          </a:extLst>
        </xdr:cNvPr>
        <xdr:cNvSpPr txBox="1">
          <a:spLocks noChangeArrowheads="1"/>
        </xdr:cNvSpPr>
      </xdr:nvSpPr>
      <xdr:spPr bwMode="auto">
        <a:xfrm>
          <a:off x="9555480" y="96918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569</xdr:row>
      <xdr:rowOff>0</xdr:rowOff>
    </xdr:from>
    <xdr:ext cx="104775" cy="208801"/>
    <xdr:sp macro="" textlink="">
      <xdr:nvSpPr>
        <xdr:cNvPr id="697" name="Text Box 249">
          <a:extLst>
            <a:ext uri="{FF2B5EF4-FFF2-40B4-BE49-F238E27FC236}">
              <a16:creationId xmlns:a16="http://schemas.microsoft.com/office/drawing/2014/main" id="{3B519268-BCE3-4E3F-8DF3-F74E6484B6B7}"/>
            </a:ext>
          </a:extLst>
        </xdr:cNvPr>
        <xdr:cNvSpPr txBox="1">
          <a:spLocks noChangeArrowheads="1"/>
        </xdr:cNvSpPr>
      </xdr:nvSpPr>
      <xdr:spPr bwMode="auto">
        <a:xfrm>
          <a:off x="9555480" y="96918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569</xdr:row>
      <xdr:rowOff>0</xdr:rowOff>
    </xdr:from>
    <xdr:ext cx="104775" cy="210011"/>
    <xdr:sp macro="" textlink="">
      <xdr:nvSpPr>
        <xdr:cNvPr id="698" name="Text Box 249">
          <a:extLst>
            <a:ext uri="{FF2B5EF4-FFF2-40B4-BE49-F238E27FC236}">
              <a16:creationId xmlns:a16="http://schemas.microsoft.com/office/drawing/2014/main" id="{9499EF76-30B1-452E-A55A-DDC9F3CB3EAA}"/>
            </a:ext>
          </a:extLst>
        </xdr:cNvPr>
        <xdr:cNvSpPr txBox="1">
          <a:spLocks noChangeArrowheads="1"/>
        </xdr:cNvSpPr>
      </xdr:nvSpPr>
      <xdr:spPr bwMode="auto">
        <a:xfrm>
          <a:off x="9558020" y="969187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570</xdr:row>
      <xdr:rowOff>0</xdr:rowOff>
    </xdr:from>
    <xdr:ext cx="117326" cy="218324"/>
    <xdr:sp macro="" textlink="">
      <xdr:nvSpPr>
        <xdr:cNvPr id="699" name="Text Box 249">
          <a:extLst>
            <a:ext uri="{FF2B5EF4-FFF2-40B4-BE49-F238E27FC236}">
              <a16:creationId xmlns:a16="http://schemas.microsoft.com/office/drawing/2014/main" id="{BBB1ABD5-D00A-4C59-80C3-C367E8224BC4}"/>
            </a:ext>
          </a:extLst>
        </xdr:cNvPr>
        <xdr:cNvSpPr txBox="1">
          <a:spLocks noChangeArrowheads="1"/>
        </xdr:cNvSpPr>
      </xdr:nvSpPr>
      <xdr:spPr bwMode="auto">
        <a:xfrm>
          <a:off x="9558020" y="970864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0" name="Text Box 249">
          <a:extLst>
            <a:ext uri="{FF2B5EF4-FFF2-40B4-BE49-F238E27FC236}">
              <a16:creationId xmlns:a16="http://schemas.microsoft.com/office/drawing/2014/main" id="{C08A45F4-914A-4668-B451-0E07198AC46C}"/>
            </a:ext>
          </a:extLst>
        </xdr:cNvPr>
        <xdr:cNvSpPr txBox="1">
          <a:spLocks noChangeArrowheads="1"/>
        </xdr:cNvSpPr>
      </xdr:nvSpPr>
      <xdr:spPr bwMode="auto">
        <a:xfrm>
          <a:off x="9555480" y="970864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1" name="Text Box 249">
          <a:extLst>
            <a:ext uri="{FF2B5EF4-FFF2-40B4-BE49-F238E27FC236}">
              <a16:creationId xmlns:a16="http://schemas.microsoft.com/office/drawing/2014/main" id="{1159E99E-96FB-4575-B6EB-EE6BD9BB7AE5}"/>
            </a:ext>
          </a:extLst>
        </xdr:cNvPr>
        <xdr:cNvSpPr txBox="1">
          <a:spLocks noChangeArrowheads="1"/>
        </xdr:cNvSpPr>
      </xdr:nvSpPr>
      <xdr:spPr bwMode="auto">
        <a:xfrm>
          <a:off x="9555480" y="970864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2" name="Text Box 249">
          <a:extLst>
            <a:ext uri="{FF2B5EF4-FFF2-40B4-BE49-F238E27FC236}">
              <a16:creationId xmlns:a16="http://schemas.microsoft.com/office/drawing/2014/main" id="{012894BB-4EF9-4F2D-A768-45BC4C4357C9}"/>
            </a:ext>
          </a:extLst>
        </xdr:cNvPr>
        <xdr:cNvSpPr txBox="1">
          <a:spLocks noChangeArrowheads="1"/>
        </xdr:cNvSpPr>
      </xdr:nvSpPr>
      <xdr:spPr bwMode="auto">
        <a:xfrm>
          <a:off x="9555480" y="970864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3" name="Text Box 249">
          <a:extLst>
            <a:ext uri="{FF2B5EF4-FFF2-40B4-BE49-F238E27FC236}">
              <a16:creationId xmlns:a16="http://schemas.microsoft.com/office/drawing/2014/main" id="{2071B050-A388-4CBA-BA6E-54A7F1B71A1C}"/>
            </a:ext>
          </a:extLst>
        </xdr:cNvPr>
        <xdr:cNvSpPr txBox="1">
          <a:spLocks noChangeArrowheads="1"/>
        </xdr:cNvSpPr>
      </xdr:nvSpPr>
      <xdr:spPr bwMode="auto">
        <a:xfrm>
          <a:off x="9555480" y="970864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4" name="Text Box 249">
          <a:extLst>
            <a:ext uri="{FF2B5EF4-FFF2-40B4-BE49-F238E27FC236}">
              <a16:creationId xmlns:a16="http://schemas.microsoft.com/office/drawing/2014/main" id="{98DFD911-5A04-40BA-9826-30642261442D}"/>
            </a:ext>
          </a:extLst>
        </xdr:cNvPr>
        <xdr:cNvSpPr txBox="1">
          <a:spLocks noChangeArrowheads="1"/>
        </xdr:cNvSpPr>
      </xdr:nvSpPr>
      <xdr:spPr bwMode="auto">
        <a:xfrm>
          <a:off x="9555480" y="970864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570</xdr:row>
      <xdr:rowOff>0</xdr:rowOff>
    </xdr:from>
    <xdr:ext cx="104775" cy="208801"/>
    <xdr:sp macro="" textlink="">
      <xdr:nvSpPr>
        <xdr:cNvPr id="705" name="Text Box 249">
          <a:extLst>
            <a:ext uri="{FF2B5EF4-FFF2-40B4-BE49-F238E27FC236}">
              <a16:creationId xmlns:a16="http://schemas.microsoft.com/office/drawing/2014/main" id="{370D0FEA-DF11-499E-B3B2-92C0B691C410}"/>
            </a:ext>
          </a:extLst>
        </xdr:cNvPr>
        <xdr:cNvSpPr txBox="1">
          <a:spLocks noChangeArrowheads="1"/>
        </xdr:cNvSpPr>
      </xdr:nvSpPr>
      <xdr:spPr bwMode="auto">
        <a:xfrm>
          <a:off x="9555480" y="970864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570</xdr:row>
      <xdr:rowOff>0</xdr:rowOff>
    </xdr:from>
    <xdr:ext cx="104775" cy="210011"/>
    <xdr:sp macro="" textlink="">
      <xdr:nvSpPr>
        <xdr:cNvPr id="706" name="Text Box 249">
          <a:extLst>
            <a:ext uri="{FF2B5EF4-FFF2-40B4-BE49-F238E27FC236}">
              <a16:creationId xmlns:a16="http://schemas.microsoft.com/office/drawing/2014/main" id="{12005E6E-5A8F-4CA5-910A-1187CF8FF523}"/>
            </a:ext>
          </a:extLst>
        </xdr:cNvPr>
        <xdr:cNvSpPr txBox="1">
          <a:spLocks noChangeArrowheads="1"/>
        </xdr:cNvSpPr>
      </xdr:nvSpPr>
      <xdr:spPr bwMode="auto">
        <a:xfrm>
          <a:off x="9558020" y="970864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573</xdr:row>
      <xdr:rowOff>0</xdr:rowOff>
    </xdr:from>
    <xdr:ext cx="117326" cy="218324"/>
    <xdr:sp macro="" textlink="">
      <xdr:nvSpPr>
        <xdr:cNvPr id="707" name="Text Box 249">
          <a:extLst>
            <a:ext uri="{FF2B5EF4-FFF2-40B4-BE49-F238E27FC236}">
              <a16:creationId xmlns:a16="http://schemas.microsoft.com/office/drawing/2014/main" id="{DE6EDF6A-B446-48A9-92B1-3EF92766B79C}"/>
            </a:ext>
          </a:extLst>
        </xdr:cNvPr>
        <xdr:cNvSpPr txBox="1">
          <a:spLocks noChangeArrowheads="1"/>
        </xdr:cNvSpPr>
      </xdr:nvSpPr>
      <xdr:spPr bwMode="auto">
        <a:xfrm>
          <a:off x="9558020" y="975893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08" name="Text Box 249">
          <a:extLst>
            <a:ext uri="{FF2B5EF4-FFF2-40B4-BE49-F238E27FC236}">
              <a16:creationId xmlns:a16="http://schemas.microsoft.com/office/drawing/2014/main" id="{8CCFFF0B-41D5-45A0-ACFA-10AB40554D97}"/>
            </a:ext>
          </a:extLst>
        </xdr:cNvPr>
        <xdr:cNvSpPr txBox="1">
          <a:spLocks noChangeArrowheads="1"/>
        </xdr:cNvSpPr>
      </xdr:nvSpPr>
      <xdr:spPr bwMode="auto">
        <a:xfrm>
          <a:off x="9555480" y="97589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09" name="Text Box 249">
          <a:extLst>
            <a:ext uri="{FF2B5EF4-FFF2-40B4-BE49-F238E27FC236}">
              <a16:creationId xmlns:a16="http://schemas.microsoft.com/office/drawing/2014/main" id="{E5C64E43-B0E2-45FA-B050-DBC3C318613D}"/>
            </a:ext>
          </a:extLst>
        </xdr:cNvPr>
        <xdr:cNvSpPr txBox="1">
          <a:spLocks noChangeArrowheads="1"/>
        </xdr:cNvSpPr>
      </xdr:nvSpPr>
      <xdr:spPr bwMode="auto">
        <a:xfrm>
          <a:off x="9555480" y="97589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10" name="Text Box 249">
          <a:extLst>
            <a:ext uri="{FF2B5EF4-FFF2-40B4-BE49-F238E27FC236}">
              <a16:creationId xmlns:a16="http://schemas.microsoft.com/office/drawing/2014/main" id="{CA84A044-6A99-4F16-8C61-8763D1CDA7E1}"/>
            </a:ext>
          </a:extLst>
        </xdr:cNvPr>
        <xdr:cNvSpPr txBox="1">
          <a:spLocks noChangeArrowheads="1"/>
        </xdr:cNvSpPr>
      </xdr:nvSpPr>
      <xdr:spPr bwMode="auto">
        <a:xfrm>
          <a:off x="9555480" y="97589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11" name="Text Box 249">
          <a:extLst>
            <a:ext uri="{FF2B5EF4-FFF2-40B4-BE49-F238E27FC236}">
              <a16:creationId xmlns:a16="http://schemas.microsoft.com/office/drawing/2014/main" id="{FC665E3F-58F2-479D-B3F1-E810F98651AC}"/>
            </a:ext>
          </a:extLst>
        </xdr:cNvPr>
        <xdr:cNvSpPr txBox="1">
          <a:spLocks noChangeArrowheads="1"/>
        </xdr:cNvSpPr>
      </xdr:nvSpPr>
      <xdr:spPr bwMode="auto">
        <a:xfrm>
          <a:off x="9555480" y="97589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12" name="Text Box 249">
          <a:extLst>
            <a:ext uri="{FF2B5EF4-FFF2-40B4-BE49-F238E27FC236}">
              <a16:creationId xmlns:a16="http://schemas.microsoft.com/office/drawing/2014/main" id="{DDCA4D4E-524B-4E8B-8D62-06E00EA5DF6A}"/>
            </a:ext>
          </a:extLst>
        </xdr:cNvPr>
        <xdr:cNvSpPr txBox="1">
          <a:spLocks noChangeArrowheads="1"/>
        </xdr:cNvSpPr>
      </xdr:nvSpPr>
      <xdr:spPr bwMode="auto">
        <a:xfrm>
          <a:off x="9555480" y="97589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573</xdr:row>
      <xdr:rowOff>0</xdr:rowOff>
    </xdr:from>
    <xdr:ext cx="104775" cy="208801"/>
    <xdr:sp macro="" textlink="">
      <xdr:nvSpPr>
        <xdr:cNvPr id="713" name="Text Box 249">
          <a:extLst>
            <a:ext uri="{FF2B5EF4-FFF2-40B4-BE49-F238E27FC236}">
              <a16:creationId xmlns:a16="http://schemas.microsoft.com/office/drawing/2014/main" id="{D3AECBC9-AE0F-42E5-91B5-55326C6FCF31}"/>
            </a:ext>
          </a:extLst>
        </xdr:cNvPr>
        <xdr:cNvSpPr txBox="1">
          <a:spLocks noChangeArrowheads="1"/>
        </xdr:cNvSpPr>
      </xdr:nvSpPr>
      <xdr:spPr bwMode="auto">
        <a:xfrm>
          <a:off x="9555480" y="975893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573</xdr:row>
      <xdr:rowOff>0</xdr:rowOff>
    </xdr:from>
    <xdr:ext cx="104775" cy="210011"/>
    <xdr:sp macro="" textlink="">
      <xdr:nvSpPr>
        <xdr:cNvPr id="714" name="Text Box 249">
          <a:extLst>
            <a:ext uri="{FF2B5EF4-FFF2-40B4-BE49-F238E27FC236}">
              <a16:creationId xmlns:a16="http://schemas.microsoft.com/office/drawing/2014/main" id="{DA450234-AC5E-4BD3-8038-BCE5150A2347}"/>
            </a:ext>
          </a:extLst>
        </xdr:cNvPr>
        <xdr:cNvSpPr txBox="1">
          <a:spLocks noChangeArrowheads="1"/>
        </xdr:cNvSpPr>
      </xdr:nvSpPr>
      <xdr:spPr bwMode="auto">
        <a:xfrm>
          <a:off x="9558020" y="975893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574</xdr:row>
      <xdr:rowOff>0</xdr:rowOff>
    </xdr:from>
    <xdr:ext cx="117326" cy="218324"/>
    <xdr:sp macro="" textlink="">
      <xdr:nvSpPr>
        <xdr:cNvPr id="715" name="Text Box 249">
          <a:extLst>
            <a:ext uri="{FF2B5EF4-FFF2-40B4-BE49-F238E27FC236}">
              <a16:creationId xmlns:a16="http://schemas.microsoft.com/office/drawing/2014/main" id="{52B3C046-6560-4BDE-854E-CEAD30D0A1C8}"/>
            </a:ext>
          </a:extLst>
        </xdr:cNvPr>
        <xdr:cNvSpPr txBox="1">
          <a:spLocks noChangeArrowheads="1"/>
        </xdr:cNvSpPr>
      </xdr:nvSpPr>
      <xdr:spPr bwMode="auto">
        <a:xfrm>
          <a:off x="9558020" y="977569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16" name="Text Box 249">
          <a:extLst>
            <a:ext uri="{FF2B5EF4-FFF2-40B4-BE49-F238E27FC236}">
              <a16:creationId xmlns:a16="http://schemas.microsoft.com/office/drawing/2014/main" id="{2179C341-BAD5-4342-B578-B08365E82562}"/>
            </a:ext>
          </a:extLst>
        </xdr:cNvPr>
        <xdr:cNvSpPr txBox="1">
          <a:spLocks noChangeArrowheads="1"/>
        </xdr:cNvSpPr>
      </xdr:nvSpPr>
      <xdr:spPr bwMode="auto">
        <a:xfrm>
          <a:off x="9555480" y="97756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17" name="Text Box 249">
          <a:extLst>
            <a:ext uri="{FF2B5EF4-FFF2-40B4-BE49-F238E27FC236}">
              <a16:creationId xmlns:a16="http://schemas.microsoft.com/office/drawing/2014/main" id="{A1B169E1-77E5-4FCD-A337-C8A80B907434}"/>
            </a:ext>
          </a:extLst>
        </xdr:cNvPr>
        <xdr:cNvSpPr txBox="1">
          <a:spLocks noChangeArrowheads="1"/>
        </xdr:cNvSpPr>
      </xdr:nvSpPr>
      <xdr:spPr bwMode="auto">
        <a:xfrm>
          <a:off x="9555480" y="97756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18" name="Text Box 249">
          <a:extLst>
            <a:ext uri="{FF2B5EF4-FFF2-40B4-BE49-F238E27FC236}">
              <a16:creationId xmlns:a16="http://schemas.microsoft.com/office/drawing/2014/main" id="{1A5A46A3-C9E4-47DD-A1DF-0386AF016F69}"/>
            </a:ext>
          </a:extLst>
        </xdr:cNvPr>
        <xdr:cNvSpPr txBox="1">
          <a:spLocks noChangeArrowheads="1"/>
        </xdr:cNvSpPr>
      </xdr:nvSpPr>
      <xdr:spPr bwMode="auto">
        <a:xfrm>
          <a:off x="9555480" y="97756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19" name="Text Box 249">
          <a:extLst>
            <a:ext uri="{FF2B5EF4-FFF2-40B4-BE49-F238E27FC236}">
              <a16:creationId xmlns:a16="http://schemas.microsoft.com/office/drawing/2014/main" id="{2265D623-DF0C-45DB-A0B6-7D53B3BF162E}"/>
            </a:ext>
          </a:extLst>
        </xdr:cNvPr>
        <xdr:cNvSpPr txBox="1">
          <a:spLocks noChangeArrowheads="1"/>
        </xdr:cNvSpPr>
      </xdr:nvSpPr>
      <xdr:spPr bwMode="auto">
        <a:xfrm>
          <a:off x="9555480" y="97756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20" name="Text Box 249">
          <a:extLst>
            <a:ext uri="{FF2B5EF4-FFF2-40B4-BE49-F238E27FC236}">
              <a16:creationId xmlns:a16="http://schemas.microsoft.com/office/drawing/2014/main" id="{AE995984-6073-404D-853A-0E554584E36F}"/>
            </a:ext>
          </a:extLst>
        </xdr:cNvPr>
        <xdr:cNvSpPr txBox="1">
          <a:spLocks noChangeArrowheads="1"/>
        </xdr:cNvSpPr>
      </xdr:nvSpPr>
      <xdr:spPr bwMode="auto">
        <a:xfrm>
          <a:off x="9555480" y="97756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574</xdr:row>
      <xdr:rowOff>0</xdr:rowOff>
    </xdr:from>
    <xdr:ext cx="104775" cy="208801"/>
    <xdr:sp macro="" textlink="">
      <xdr:nvSpPr>
        <xdr:cNvPr id="721" name="Text Box 249">
          <a:extLst>
            <a:ext uri="{FF2B5EF4-FFF2-40B4-BE49-F238E27FC236}">
              <a16:creationId xmlns:a16="http://schemas.microsoft.com/office/drawing/2014/main" id="{B52DBC4D-DDFA-497B-9920-27A712BF1256}"/>
            </a:ext>
          </a:extLst>
        </xdr:cNvPr>
        <xdr:cNvSpPr txBox="1">
          <a:spLocks noChangeArrowheads="1"/>
        </xdr:cNvSpPr>
      </xdr:nvSpPr>
      <xdr:spPr bwMode="auto">
        <a:xfrm>
          <a:off x="9555480" y="977569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574</xdr:row>
      <xdr:rowOff>0</xdr:rowOff>
    </xdr:from>
    <xdr:ext cx="104775" cy="210011"/>
    <xdr:sp macro="" textlink="">
      <xdr:nvSpPr>
        <xdr:cNvPr id="722" name="Text Box 249">
          <a:extLst>
            <a:ext uri="{FF2B5EF4-FFF2-40B4-BE49-F238E27FC236}">
              <a16:creationId xmlns:a16="http://schemas.microsoft.com/office/drawing/2014/main" id="{70DE203D-4AF6-498D-A0D0-616C1D8CEF16}"/>
            </a:ext>
          </a:extLst>
        </xdr:cNvPr>
        <xdr:cNvSpPr txBox="1">
          <a:spLocks noChangeArrowheads="1"/>
        </xdr:cNvSpPr>
      </xdr:nvSpPr>
      <xdr:spPr bwMode="auto">
        <a:xfrm>
          <a:off x="9558020" y="977569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575</xdr:row>
      <xdr:rowOff>0</xdr:rowOff>
    </xdr:from>
    <xdr:ext cx="117326" cy="218324"/>
    <xdr:sp macro="" textlink="">
      <xdr:nvSpPr>
        <xdr:cNvPr id="723" name="Text Box 249">
          <a:extLst>
            <a:ext uri="{FF2B5EF4-FFF2-40B4-BE49-F238E27FC236}">
              <a16:creationId xmlns:a16="http://schemas.microsoft.com/office/drawing/2014/main" id="{6B562814-9EA1-4F38-B8A8-794DC6B3D238}"/>
            </a:ext>
          </a:extLst>
        </xdr:cNvPr>
        <xdr:cNvSpPr txBox="1">
          <a:spLocks noChangeArrowheads="1"/>
        </xdr:cNvSpPr>
      </xdr:nvSpPr>
      <xdr:spPr bwMode="auto">
        <a:xfrm>
          <a:off x="9558020" y="979246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4" name="Text Box 249">
          <a:extLst>
            <a:ext uri="{FF2B5EF4-FFF2-40B4-BE49-F238E27FC236}">
              <a16:creationId xmlns:a16="http://schemas.microsoft.com/office/drawing/2014/main" id="{C747A312-1BA6-446D-9A11-A603C108E17E}"/>
            </a:ext>
          </a:extLst>
        </xdr:cNvPr>
        <xdr:cNvSpPr txBox="1">
          <a:spLocks noChangeArrowheads="1"/>
        </xdr:cNvSpPr>
      </xdr:nvSpPr>
      <xdr:spPr bwMode="auto">
        <a:xfrm>
          <a:off x="9555480" y="97924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5" name="Text Box 249">
          <a:extLst>
            <a:ext uri="{FF2B5EF4-FFF2-40B4-BE49-F238E27FC236}">
              <a16:creationId xmlns:a16="http://schemas.microsoft.com/office/drawing/2014/main" id="{7A92A85D-202E-4B92-952E-7310C981A588}"/>
            </a:ext>
          </a:extLst>
        </xdr:cNvPr>
        <xdr:cNvSpPr txBox="1">
          <a:spLocks noChangeArrowheads="1"/>
        </xdr:cNvSpPr>
      </xdr:nvSpPr>
      <xdr:spPr bwMode="auto">
        <a:xfrm>
          <a:off x="9555480" y="97924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6" name="Text Box 249">
          <a:extLst>
            <a:ext uri="{FF2B5EF4-FFF2-40B4-BE49-F238E27FC236}">
              <a16:creationId xmlns:a16="http://schemas.microsoft.com/office/drawing/2014/main" id="{F82A4D88-EFC5-443B-A120-4965FE514BCB}"/>
            </a:ext>
          </a:extLst>
        </xdr:cNvPr>
        <xdr:cNvSpPr txBox="1">
          <a:spLocks noChangeArrowheads="1"/>
        </xdr:cNvSpPr>
      </xdr:nvSpPr>
      <xdr:spPr bwMode="auto">
        <a:xfrm>
          <a:off x="9555480" y="97924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7" name="Text Box 249">
          <a:extLst>
            <a:ext uri="{FF2B5EF4-FFF2-40B4-BE49-F238E27FC236}">
              <a16:creationId xmlns:a16="http://schemas.microsoft.com/office/drawing/2014/main" id="{C1100DE9-CE30-4A91-A88A-7182EF4246F0}"/>
            </a:ext>
          </a:extLst>
        </xdr:cNvPr>
        <xdr:cNvSpPr txBox="1">
          <a:spLocks noChangeArrowheads="1"/>
        </xdr:cNvSpPr>
      </xdr:nvSpPr>
      <xdr:spPr bwMode="auto">
        <a:xfrm>
          <a:off x="9555480" y="97924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8" name="Text Box 249">
          <a:extLst>
            <a:ext uri="{FF2B5EF4-FFF2-40B4-BE49-F238E27FC236}">
              <a16:creationId xmlns:a16="http://schemas.microsoft.com/office/drawing/2014/main" id="{B4575BE1-FCF7-49E4-898C-296ECFDD6C26}"/>
            </a:ext>
          </a:extLst>
        </xdr:cNvPr>
        <xdr:cNvSpPr txBox="1">
          <a:spLocks noChangeArrowheads="1"/>
        </xdr:cNvSpPr>
      </xdr:nvSpPr>
      <xdr:spPr bwMode="auto">
        <a:xfrm>
          <a:off x="9555480" y="97924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575</xdr:row>
      <xdr:rowOff>0</xdr:rowOff>
    </xdr:from>
    <xdr:ext cx="104775" cy="208801"/>
    <xdr:sp macro="" textlink="">
      <xdr:nvSpPr>
        <xdr:cNvPr id="729" name="Text Box 249">
          <a:extLst>
            <a:ext uri="{FF2B5EF4-FFF2-40B4-BE49-F238E27FC236}">
              <a16:creationId xmlns:a16="http://schemas.microsoft.com/office/drawing/2014/main" id="{067006A2-CCCA-4359-B55E-AB36920EE453}"/>
            </a:ext>
          </a:extLst>
        </xdr:cNvPr>
        <xdr:cNvSpPr txBox="1">
          <a:spLocks noChangeArrowheads="1"/>
        </xdr:cNvSpPr>
      </xdr:nvSpPr>
      <xdr:spPr bwMode="auto">
        <a:xfrm>
          <a:off x="9555480" y="979246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575</xdr:row>
      <xdr:rowOff>0</xdr:rowOff>
    </xdr:from>
    <xdr:ext cx="104775" cy="210011"/>
    <xdr:sp macro="" textlink="">
      <xdr:nvSpPr>
        <xdr:cNvPr id="730" name="Text Box 249">
          <a:extLst>
            <a:ext uri="{FF2B5EF4-FFF2-40B4-BE49-F238E27FC236}">
              <a16:creationId xmlns:a16="http://schemas.microsoft.com/office/drawing/2014/main" id="{21AB3756-1E1C-4D39-81F4-86FDBBCEBE6E}"/>
            </a:ext>
          </a:extLst>
        </xdr:cNvPr>
        <xdr:cNvSpPr txBox="1">
          <a:spLocks noChangeArrowheads="1"/>
        </xdr:cNvSpPr>
      </xdr:nvSpPr>
      <xdr:spPr bwMode="auto">
        <a:xfrm>
          <a:off x="9558020" y="979246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31" name="Text Box 249">
          <a:extLst>
            <a:ext uri="{FF2B5EF4-FFF2-40B4-BE49-F238E27FC236}">
              <a16:creationId xmlns:a16="http://schemas.microsoft.com/office/drawing/2014/main" id="{C11D24FC-1286-451F-A2CC-39DE43B96630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2" name="Text Box 249">
          <a:extLst>
            <a:ext uri="{FF2B5EF4-FFF2-40B4-BE49-F238E27FC236}">
              <a16:creationId xmlns:a16="http://schemas.microsoft.com/office/drawing/2014/main" id="{3E004DC7-F7C9-453E-9A4A-53D3B73BB8D9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3" name="Text Box 249">
          <a:extLst>
            <a:ext uri="{FF2B5EF4-FFF2-40B4-BE49-F238E27FC236}">
              <a16:creationId xmlns:a16="http://schemas.microsoft.com/office/drawing/2014/main" id="{95842416-68B9-4B8F-90C3-909D61248986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4" name="Text Box 249">
          <a:extLst>
            <a:ext uri="{FF2B5EF4-FFF2-40B4-BE49-F238E27FC236}">
              <a16:creationId xmlns:a16="http://schemas.microsoft.com/office/drawing/2014/main" id="{60D7C3E1-5213-4FDE-8BA3-64115A8A6FC2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5" name="Text Box 249">
          <a:extLst>
            <a:ext uri="{FF2B5EF4-FFF2-40B4-BE49-F238E27FC236}">
              <a16:creationId xmlns:a16="http://schemas.microsoft.com/office/drawing/2014/main" id="{60C1B8E8-F985-4E16-8A49-581CFBF7810F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6" name="Text Box 249">
          <a:extLst>
            <a:ext uri="{FF2B5EF4-FFF2-40B4-BE49-F238E27FC236}">
              <a16:creationId xmlns:a16="http://schemas.microsoft.com/office/drawing/2014/main" id="{A908E928-17D0-40DC-BD62-E2B0B5154E76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7" name="Text Box 249">
          <a:extLst>
            <a:ext uri="{FF2B5EF4-FFF2-40B4-BE49-F238E27FC236}">
              <a16:creationId xmlns:a16="http://schemas.microsoft.com/office/drawing/2014/main" id="{6E73BD91-CABD-4352-8013-E6AB567A1EC7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38" name="Text Box 249">
          <a:extLst>
            <a:ext uri="{FF2B5EF4-FFF2-40B4-BE49-F238E27FC236}">
              <a16:creationId xmlns:a16="http://schemas.microsoft.com/office/drawing/2014/main" id="{1B2581B9-2AB0-4E5E-85CB-4185D5A04213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39" name="Text Box 249">
          <a:extLst>
            <a:ext uri="{FF2B5EF4-FFF2-40B4-BE49-F238E27FC236}">
              <a16:creationId xmlns:a16="http://schemas.microsoft.com/office/drawing/2014/main" id="{758A489C-1E8B-43B9-A641-AB9FAEE2AD91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0" name="Text Box 249">
          <a:extLst>
            <a:ext uri="{FF2B5EF4-FFF2-40B4-BE49-F238E27FC236}">
              <a16:creationId xmlns:a16="http://schemas.microsoft.com/office/drawing/2014/main" id="{EEB669E2-F598-44E3-AEB0-12FDBE08AC41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1" name="Text Box 249">
          <a:extLst>
            <a:ext uri="{FF2B5EF4-FFF2-40B4-BE49-F238E27FC236}">
              <a16:creationId xmlns:a16="http://schemas.microsoft.com/office/drawing/2014/main" id="{F14FF4ED-103F-4E43-BDA5-8C6F7C5E1C06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2" name="Text Box 249">
          <a:extLst>
            <a:ext uri="{FF2B5EF4-FFF2-40B4-BE49-F238E27FC236}">
              <a16:creationId xmlns:a16="http://schemas.microsoft.com/office/drawing/2014/main" id="{9538CD94-22AA-41F1-926A-C7AE644D9287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3" name="Text Box 249">
          <a:extLst>
            <a:ext uri="{FF2B5EF4-FFF2-40B4-BE49-F238E27FC236}">
              <a16:creationId xmlns:a16="http://schemas.microsoft.com/office/drawing/2014/main" id="{345F6AAE-5779-4E02-A5C9-D7BC1F48CAB8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4" name="Text Box 249">
          <a:extLst>
            <a:ext uri="{FF2B5EF4-FFF2-40B4-BE49-F238E27FC236}">
              <a16:creationId xmlns:a16="http://schemas.microsoft.com/office/drawing/2014/main" id="{09B60466-AB60-40BA-BC58-3385549C1AAD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45" name="Text Box 249">
          <a:extLst>
            <a:ext uri="{FF2B5EF4-FFF2-40B4-BE49-F238E27FC236}">
              <a16:creationId xmlns:a16="http://schemas.microsoft.com/office/drawing/2014/main" id="{383A85FC-0DB3-4F56-8135-DF211EDB2F5A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46" name="Text Box 249">
          <a:extLst>
            <a:ext uri="{FF2B5EF4-FFF2-40B4-BE49-F238E27FC236}">
              <a16:creationId xmlns:a16="http://schemas.microsoft.com/office/drawing/2014/main" id="{A8310D20-B4FC-49E6-8B4D-88AB3FB82B35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7" name="Text Box 249">
          <a:extLst>
            <a:ext uri="{FF2B5EF4-FFF2-40B4-BE49-F238E27FC236}">
              <a16:creationId xmlns:a16="http://schemas.microsoft.com/office/drawing/2014/main" id="{9E4DA988-538A-443B-8504-34F85C5D7EDF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8" name="Text Box 249">
          <a:extLst>
            <a:ext uri="{FF2B5EF4-FFF2-40B4-BE49-F238E27FC236}">
              <a16:creationId xmlns:a16="http://schemas.microsoft.com/office/drawing/2014/main" id="{BC127C88-016A-40DF-A44C-51DA96CFA2F6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49" name="Text Box 249">
          <a:extLst>
            <a:ext uri="{FF2B5EF4-FFF2-40B4-BE49-F238E27FC236}">
              <a16:creationId xmlns:a16="http://schemas.microsoft.com/office/drawing/2014/main" id="{CBFEB40F-E952-432E-8617-9301F643620F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0" name="Text Box 249">
          <a:extLst>
            <a:ext uri="{FF2B5EF4-FFF2-40B4-BE49-F238E27FC236}">
              <a16:creationId xmlns:a16="http://schemas.microsoft.com/office/drawing/2014/main" id="{29C3A8FC-4FFA-45D0-8B45-CCFF4476EF16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1" name="Text Box 249">
          <a:extLst>
            <a:ext uri="{FF2B5EF4-FFF2-40B4-BE49-F238E27FC236}">
              <a16:creationId xmlns:a16="http://schemas.microsoft.com/office/drawing/2014/main" id="{4B4B5A20-F04B-471A-B1B8-68A439C908B7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2" name="Text Box 249">
          <a:extLst>
            <a:ext uri="{FF2B5EF4-FFF2-40B4-BE49-F238E27FC236}">
              <a16:creationId xmlns:a16="http://schemas.microsoft.com/office/drawing/2014/main" id="{7B8749E2-4482-43B5-AE4E-D67261B3013A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53" name="Text Box 249">
          <a:extLst>
            <a:ext uri="{FF2B5EF4-FFF2-40B4-BE49-F238E27FC236}">
              <a16:creationId xmlns:a16="http://schemas.microsoft.com/office/drawing/2014/main" id="{479E3306-BA67-48D0-AE3F-CC014FDA4788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54" name="Text Box 249">
          <a:extLst>
            <a:ext uri="{FF2B5EF4-FFF2-40B4-BE49-F238E27FC236}">
              <a16:creationId xmlns:a16="http://schemas.microsoft.com/office/drawing/2014/main" id="{DDF61CA2-2281-4A56-8A21-D9A0CD745D2E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5" name="Text Box 249">
          <a:extLst>
            <a:ext uri="{FF2B5EF4-FFF2-40B4-BE49-F238E27FC236}">
              <a16:creationId xmlns:a16="http://schemas.microsoft.com/office/drawing/2014/main" id="{70D76577-30DE-48A7-9B78-1B580DC216C5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6" name="Text Box 249">
          <a:extLst>
            <a:ext uri="{FF2B5EF4-FFF2-40B4-BE49-F238E27FC236}">
              <a16:creationId xmlns:a16="http://schemas.microsoft.com/office/drawing/2014/main" id="{5336F00A-B4D7-4FAD-AE26-3B673E2F2546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7" name="Text Box 249">
          <a:extLst>
            <a:ext uri="{FF2B5EF4-FFF2-40B4-BE49-F238E27FC236}">
              <a16:creationId xmlns:a16="http://schemas.microsoft.com/office/drawing/2014/main" id="{46FB3EA9-77EC-4882-AD38-AD0E179901DC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8" name="Text Box 249">
          <a:extLst>
            <a:ext uri="{FF2B5EF4-FFF2-40B4-BE49-F238E27FC236}">
              <a16:creationId xmlns:a16="http://schemas.microsoft.com/office/drawing/2014/main" id="{AB07F83A-A1F3-4430-9F84-927E5FCBD8F0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59" name="Text Box 249">
          <a:extLst>
            <a:ext uri="{FF2B5EF4-FFF2-40B4-BE49-F238E27FC236}">
              <a16:creationId xmlns:a16="http://schemas.microsoft.com/office/drawing/2014/main" id="{5C1D9CD1-7FF9-4AD2-89FF-06D836683318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0" name="Text Box 249">
          <a:extLst>
            <a:ext uri="{FF2B5EF4-FFF2-40B4-BE49-F238E27FC236}">
              <a16:creationId xmlns:a16="http://schemas.microsoft.com/office/drawing/2014/main" id="{1BC4ACC8-A00C-4E8D-A173-3CF86A669EDA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61" name="Text Box 249">
          <a:extLst>
            <a:ext uri="{FF2B5EF4-FFF2-40B4-BE49-F238E27FC236}">
              <a16:creationId xmlns:a16="http://schemas.microsoft.com/office/drawing/2014/main" id="{0D522ABA-3D99-4E76-944D-9526B1EDE60D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62" name="Text Box 249">
          <a:extLst>
            <a:ext uri="{FF2B5EF4-FFF2-40B4-BE49-F238E27FC236}">
              <a16:creationId xmlns:a16="http://schemas.microsoft.com/office/drawing/2014/main" id="{DC22D8DB-0ED4-4107-A540-3902C66CED98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3" name="Text Box 249">
          <a:extLst>
            <a:ext uri="{FF2B5EF4-FFF2-40B4-BE49-F238E27FC236}">
              <a16:creationId xmlns:a16="http://schemas.microsoft.com/office/drawing/2014/main" id="{BFCC2003-97E0-4FD9-A7CC-9DCD42AC55FD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4" name="Text Box 249">
          <a:extLst>
            <a:ext uri="{FF2B5EF4-FFF2-40B4-BE49-F238E27FC236}">
              <a16:creationId xmlns:a16="http://schemas.microsoft.com/office/drawing/2014/main" id="{07F91A8D-D6E6-4C3E-B18F-CD21D18DE553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5" name="Text Box 249">
          <a:extLst>
            <a:ext uri="{FF2B5EF4-FFF2-40B4-BE49-F238E27FC236}">
              <a16:creationId xmlns:a16="http://schemas.microsoft.com/office/drawing/2014/main" id="{121187FF-453B-4B80-A10B-613C7162BA4C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6" name="Text Box 249">
          <a:extLst>
            <a:ext uri="{FF2B5EF4-FFF2-40B4-BE49-F238E27FC236}">
              <a16:creationId xmlns:a16="http://schemas.microsoft.com/office/drawing/2014/main" id="{0C48E658-4BC5-446A-8518-A814D7D4EBB3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7" name="Text Box 249">
          <a:extLst>
            <a:ext uri="{FF2B5EF4-FFF2-40B4-BE49-F238E27FC236}">
              <a16:creationId xmlns:a16="http://schemas.microsoft.com/office/drawing/2014/main" id="{141924CE-532A-44C1-A065-06B18BDE278A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68" name="Text Box 249">
          <a:extLst>
            <a:ext uri="{FF2B5EF4-FFF2-40B4-BE49-F238E27FC236}">
              <a16:creationId xmlns:a16="http://schemas.microsoft.com/office/drawing/2014/main" id="{73277ED1-50DB-4933-A570-EBEEDC6FA7E3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69" name="Text Box 249">
          <a:extLst>
            <a:ext uri="{FF2B5EF4-FFF2-40B4-BE49-F238E27FC236}">
              <a16:creationId xmlns:a16="http://schemas.microsoft.com/office/drawing/2014/main" id="{5A69185E-24AA-40D6-9364-3B93F552B65A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70" name="Text Box 249">
          <a:extLst>
            <a:ext uri="{FF2B5EF4-FFF2-40B4-BE49-F238E27FC236}">
              <a16:creationId xmlns:a16="http://schemas.microsoft.com/office/drawing/2014/main" id="{596280EE-7B2C-4115-8EF1-AFF3D73F7371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1" name="Text Box 249">
          <a:extLst>
            <a:ext uri="{FF2B5EF4-FFF2-40B4-BE49-F238E27FC236}">
              <a16:creationId xmlns:a16="http://schemas.microsoft.com/office/drawing/2014/main" id="{8A8AF001-D1B5-41B8-8B48-0B789D744782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2" name="Text Box 249">
          <a:extLst>
            <a:ext uri="{FF2B5EF4-FFF2-40B4-BE49-F238E27FC236}">
              <a16:creationId xmlns:a16="http://schemas.microsoft.com/office/drawing/2014/main" id="{6430C893-C68D-47D0-8BF4-02E237C6E384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3" name="Text Box 249">
          <a:extLst>
            <a:ext uri="{FF2B5EF4-FFF2-40B4-BE49-F238E27FC236}">
              <a16:creationId xmlns:a16="http://schemas.microsoft.com/office/drawing/2014/main" id="{EEDF6C0A-FD56-4A75-B183-FC37D4C613BB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4" name="Text Box 249">
          <a:extLst>
            <a:ext uri="{FF2B5EF4-FFF2-40B4-BE49-F238E27FC236}">
              <a16:creationId xmlns:a16="http://schemas.microsoft.com/office/drawing/2014/main" id="{B121FC37-1DF3-496C-B4A5-AB58C05FDE1A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5" name="Text Box 249">
          <a:extLst>
            <a:ext uri="{FF2B5EF4-FFF2-40B4-BE49-F238E27FC236}">
              <a16:creationId xmlns:a16="http://schemas.microsoft.com/office/drawing/2014/main" id="{4C6F3B65-B4EE-4726-96A7-4A29E0D5028D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6" name="Text Box 249">
          <a:extLst>
            <a:ext uri="{FF2B5EF4-FFF2-40B4-BE49-F238E27FC236}">
              <a16:creationId xmlns:a16="http://schemas.microsoft.com/office/drawing/2014/main" id="{7BDE7F02-587D-4AD6-BF0A-AA4290AB0771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77" name="Text Box 249">
          <a:extLst>
            <a:ext uri="{FF2B5EF4-FFF2-40B4-BE49-F238E27FC236}">
              <a16:creationId xmlns:a16="http://schemas.microsoft.com/office/drawing/2014/main" id="{11B04477-7387-47EF-B087-D6406E10F16C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78" name="Text Box 249">
          <a:extLst>
            <a:ext uri="{FF2B5EF4-FFF2-40B4-BE49-F238E27FC236}">
              <a16:creationId xmlns:a16="http://schemas.microsoft.com/office/drawing/2014/main" id="{7D5DE99A-AF72-430A-AE1A-C45054476167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79" name="Text Box 249">
          <a:extLst>
            <a:ext uri="{FF2B5EF4-FFF2-40B4-BE49-F238E27FC236}">
              <a16:creationId xmlns:a16="http://schemas.microsoft.com/office/drawing/2014/main" id="{D7670D0C-E479-4FAF-83A9-99139A939423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0" name="Text Box 249">
          <a:extLst>
            <a:ext uri="{FF2B5EF4-FFF2-40B4-BE49-F238E27FC236}">
              <a16:creationId xmlns:a16="http://schemas.microsoft.com/office/drawing/2014/main" id="{23D80BE6-F950-4070-AF93-D453C369DCFA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1" name="Text Box 249">
          <a:extLst>
            <a:ext uri="{FF2B5EF4-FFF2-40B4-BE49-F238E27FC236}">
              <a16:creationId xmlns:a16="http://schemas.microsoft.com/office/drawing/2014/main" id="{F025FFA6-F866-46DE-B258-6A994619357D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2" name="Text Box 249">
          <a:extLst>
            <a:ext uri="{FF2B5EF4-FFF2-40B4-BE49-F238E27FC236}">
              <a16:creationId xmlns:a16="http://schemas.microsoft.com/office/drawing/2014/main" id="{ABD05832-E85C-41E0-BC08-9761A27F7A48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3" name="Text Box 249">
          <a:extLst>
            <a:ext uri="{FF2B5EF4-FFF2-40B4-BE49-F238E27FC236}">
              <a16:creationId xmlns:a16="http://schemas.microsoft.com/office/drawing/2014/main" id="{B033598B-31B2-4D2A-B916-CDFD614541BE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4" name="Text Box 249">
          <a:extLst>
            <a:ext uri="{FF2B5EF4-FFF2-40B4-BE49-F238E27FC236}">
              <a16:creationId xmlns:a16="http://schemas.microsoft.com/office/drawing/2014/main" id="{486D3F72-8280-48F0-9507-FC95B03E1744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85" name="Text Box 249">
          <a:extLst>
            <a:ext uri="{FF2B5EF4-FFF2-40B4-BE49-F238E27FC236}">
              <a16:creationId xmlns:a16="http://schemas.microsoft.com/office/drawing/2014/main" id="{3EF7B536-D6CE-493B-9EE4-86BB5A0E575A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17326" cy="218324"/>
    <xdr:sp macro="" textlink="">
      <xdr:nvSpPr>
        <xdr:cNvPr id="786" name="Text Box 249">
          <a:extLst>
            <a:ext uri="{FF2B5EF4-FFF2-40B4-BE49-F238E27FC236}">
              <a16:creationId xmlns:a16="http://schemas.microsoft.com/office/drawing/2014/main" id="{94C44712-6328-4793-BBD7-13C9EF5A5865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7" name="Text Box 249">
          <a:extLst>
            <a:ext uri="{FF2B5EF4-FFF2-40B4-BE49-F238E27FC236}">
              <a16:creationId xmlns:a16="http://schemas.microsoft.com/office/drawing/2014/main" id="{E6EDB068-1B8B-4CFA-85CC-BC96689E7308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8" name="Text Box 249">
          <a:extLst>
            <a:ext uri="{FF2B5EF4-FFF2-40B4-BE49-F238E27FC236}">
              <a16:creationId xmlns:a16="http://schemas.microsoft.com/office/drawing/2014/main" id="{13A7F7DE-F6F2-4007-A9D2-A66D33C4486C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89" name="Text Box 249">
          <a:extLst>
            <a:ext uri="{FF2B5EF4-FFF2-40B4-BE49-F238E27FC236}">
              <a16:creationId xmlns:a16="http://schemas.microsoft.com/office/drawing/2014/main" id="{E22CA313-CBD6-4E24-A28C-B14AE07C8CF2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90" name="Text Box 249">
          <a:extLst>
            <a:ext uri="{FF2B5EF4-FFF2-40B4-BE49-F238E27FC236}">
              <a16:creationId xmlns:a16="http://schemas.microsoft.com/office/drawing/2014/main" id="{DF6CE80B-0B88-4C38-9250-C6CDB0E1699C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91" name="Text Box 249">
          <a:extLst>
            <a:ext uri="{FF2B5EF4-FFF2-40B4-BE49-F238E27FC236}">
              <a16:creationId xmlns:a16="http://schemas.microsoft.com/office/drawing/2014/main" id="{4E8664EA-90D0-4234-8F12-89406D113A44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585</xdr:row>
      <xdr:rowOff>0</xdr:rowOff>
    </xdr:from>
    <xdr:ext cx="104775" cy="208801"/>
    <xdr:sp macro="" textlink="">
      <xdr:nvSpPr>
        <xdr:cNvPr id="792" name="Text Box 249">
          <a:extLst>
            <a:ext uri="{FF2B5EF4-FFF2-40B4-BE49-F238E27FC236}">
              <a16:creationId xmlns:a16="http://schemas.microsoft.com/office/drawing/2014/main" id="{D0DB3B33-C4BA-46E1-9ED6-E66CF94C519C}"/>
            </a:ext>
          </a:extLst>
        </xdr:cNvPr>
        <xdr:cNvSpPr txBox="1">
          <a:spLocks noChangeArrowheads="1"/>
        </xdr:cNvSpPr>
      </xdr:nvSpPr>
      <xdr:spPr bwMode="auto">
        <a:xfrm>
          <a:off x="9555480" y="996010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585</xdr:row>
      <xdr:rowOff>0</xdr:rowOff>
    </xdr:from>
    <xdr:ext cx="104775" cy="210011"/>
    <xdr:sp macro="" textlink="">
      <xdr:nvSpPr>
        <xdr:cNvPr id="793" name="Text Box 249">
          <a:extLst>
            <a:ext uri="{FF2B5EF4-FFF2-40B4-BE49-F238E27FC236}">
              <a16:creationId xmlns:a16="http://schemas.microsoft.com/office/drawing/2014/main" id="{266B74A1-226D-4212-BBD7-226AF79C4190}"/>
            </a:ext>
          </a:extLst>
        </xdr:cNvPr>
        <xdr:cNvSpPr txBox="1">
          <a:spLocks noChangeArrowheads="1"/>
        </xdr:cNvSpPr>
      </xdr:nvSpPr>
      <xdr:spPr bwMode="auto">
        <a:xfrm>
          <a:off x="9558020" y="996010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794" name="Text Box 249">
          <a:extLst>
            <a:ext uri="{FF2B5EF4-FFF2-40B4-BE49-F238E27FC236}">
              <a16:creationId xmlns:a16="http://schemas.microsoft.com/office/drawing/2014/main" id="{D8581391-8278-45F8-912F-BF966D8B4787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795" name="Text Box 249">
          <a:extLst>
            <a:ext uri="{FF2B5EF4-FFF2-40B4-BE49-F238E27FC236}">
              <a16:creationId xmlns:a16="http://schemas.microsoft.com/office/drawing/2014/main" id="{05D6D521-A2B7-4F4B-B7BC-1A864C5AB7F7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796" name="Text Box 249">
          <a:extLst>
            <a:ext uri="{FF2B5EF4-FFF2-40B4-BE49-F238E27FC236}">
              <a16:creationId xmlns:a16="http://schemas.microsoft.com/office/drawing/2014/main" id="{E7B50750-0AC8-4A09-8DE0-8B27E729408B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797" name="Text Box 249">
          <a:extLst>
            <a:ext uri="{FF2B5EF4-FFF2-40B4-BE49-F238E27FC236}">
              <a16:creationId xmlns:a16="http://schemas.microsoft.com/office/drawing/2014/main" id="{F697A369-25D4-40BC-A1EB-F963F23D768F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798" name="Text Box 249">
          <a:extLst>
            <a:ext uri="{FF2B5EF4-FFF2-40B4-BE49-F238E27FC236}">
              <a16:creationId xmlns:a16="http://schemas.microsoft.com/office/drawing/2014/main" id="{5A1C6871-883D-4D74-81B0-A47304B43A67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799" name="Text Box 249">
          <a:extLst>
            <a:ext uri="{FF2B5EF4-FFF2-40B4-BE49-F238E27FC236}">
              <a16:creationId xmlns:a16="http://schemas.microsoft.com/office/drawing/2014/main" id="{1EA968FD-E2BE-4CC7-8D2B-C6F1B3E84724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0" name="Text Box 249">
          <a:extLst>
            <a:ext uri="{FF2B5EF4-FFF2-40B4-BE49-F238E27FC236}">
              <a16:creationId xmlns:a16="http://schemas.microsoft.com/office/drawing/2014/main" id="{984B5501-464E-4F25-AA66-391C3B4C7ED8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01" name="Text Box 249">
          <a:extLst>
            <a:ext uri="{FF2B5EF4-FFF2-40B4-BE49-F238E27FC236}">
              <a16:creationId xmlns:a16="http://schemas.microsoft.com/office/drawing/2014/main" id="{0A606C67-FA5D-4D2C-AD90-679CAC97BE7F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2" name="Text Box 249">
          <a:extLst>
            <a:ext uri="{FF2B5EF4-FFF2-40B4-BE49-F238E27FC236}">
              <a16:creationId xmlns:a16="http://schemas.microsoft.com/office/drawing/2014/main" id="{7FB20EBC-3F9F-43B7-98C0-9CF82D3511C6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3" name="Text Box 249">
          <a:extLst>
            <a:ext uri="{FF2B5EF4-FFF2-40B4-BE49-F238E27FC236}">
              <a16:creationId xmlns:a16="http://schemas.microsoft.com/office/drawing/2014/main" id="{D2BE4F6A-4A5E-4863-ACEA-C75946291954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4" name="Text Box 249">
          <a:extLst>
            <a:ext uri="{FF2B5EF4-FFF2-40B4-BE49-F238E27FC236}">
              <a16:creationId xmlns:a16="http://schemas.microsoft.com/office/drawing/2014/main" id="{6CC7C029-40E6-4DCD-B1C6-BE73EF962001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5" name="Text Box 249">
          <a:extLst>
            <a:ext uri="{FF2B5EF4-FFF2-40B4-BE49-F238E27FC236}">
              <a16:creationId xmlns:a16="http://schemas.microsoft.com/office/drawing/2014/main" id="{9EA4504E-D21E-4320-980E-BE0170F67447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6" name="Text Box 249">
          <a:extLst>
            <a:ext uri="{FF2B5EF4-FFF2-40B4-BE49-F238E27FC236}">
              <a16:creationId xmlns:a16="http://schemas.microsoft.com/office/drawing/2014/main" id="{7F03E843-0CE3-45CC-9EC6-9709AADEF686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07" name="Text Box 249">
          <a:extLst>
            <a:ext uri="{FF2B5EF4-FFF2-40B4-BE49-F238E27FC236}">
              <a16:creationId xmlns:a16="http://schemas.microsoft.com/office/drawing/2014/main" id="{5FFC8834-4A54-4649-B0A8-CCD9B2E1D27E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08" name="Text Box 249">
          <a:extLst>
            <a:ext uri="{FF2B5EF4-FFF2-40B4-BE49-F238E27FC236}">
              <a16:creationId xmlns:a16="http://schemas.microsoft.com/office/drawing/2014/main" id="{936D9F12-493E-4614-8B9E-A1DBDB87B302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09" name="Text Box 249">
          <a:extLst>
            <a:ext uri="{FF2B5EF4-FFF2-40B4-BE49-F238E27FC236}">
              <a16:creationId xmlns:a16="http://schemas.microsoft.com/office/drawing/2014/main" id="{552FBE21-D49B-4785-A02F-542E1DB853BC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0" name="Text Box 249">
          <a:extLst>
            <a:ext uri="{FF2B5EF4-FFF2-40B4-BE49-F238E27FC236}">
              <a16:creationId xmlns:a16="http://schemas.microsoft.com/office/drawing/2014/main" id="{E27B061D-7F1B-405E-B245-2686E0854D93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1" name="Text Box 249">
          <a:extLst>
            <a:ext uri="{FF2B5EF4-FFF2-40B4-BE49-F238E27FC236}">
              <a16:creationId xmlns:a16="http://schemas.microsoft.com/office/drawing/2014/main" id="{FAD57935-3995-480C-B110-DC461DD5A3B8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2" name="Text Box 249">
          <a:extLst>
            <a:ext uri="{FF2B5EF4-FFF2-40B4-BE49-F238E27FC236}">
              <a16:creationId xmlns:a16="http://schemas.microsoft.com/office/drawing/2014/main" id="{3EB2680E-A1F5-4086-BAAA-16FBF302E3CA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3" name="Text Box 249">
          <a:extLst>
            <a:ext uri="{FF2B5EF4-FFF2-40B4-BE49-F238E27FC236}">
              <a16:creationId xmlns:a16="http://schemas.microsoft.com/office/drawing/2014/main" id="{EF513393-E0ED-43F4-8BA3-853E9AA8C276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4" name="Text Box 249">
          <a:extLst>
            <a:ext uri="{FF2B5EF4-FFF2-40B4-BE49-F238E27FC236}">
              <a16:creationId xmlns:a16="http://schemas.microsoft.com/office/drawing/2014/main" id="{75A0D5D6-3264-41B4-A4B3-AB69A893890B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5" name="Text Box 249">
          <a:extLst>
            <a:ext uri="{FF2B5EF4-FFF2-40B4-BE49-F238E27FC236}">
              <a16:creationId xmlns:a16="http://schemas.microsoft.com/office/drawing/2014/main" id="{8B89DAAC-E1C1-4425-B44B-07C4E52B9A6D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16" name="Text Box 249">
          <a:extLst>
            <a:ext uri="{FF2B5EF4-FFF2-40B4-BE49-F238E27FC236}">
              <a16:creationId xmlns:a16="http://schemas.microsoft.com/office/drawing/2014/main" id="{BCBFEBD1-FEAC-4E4F-A723-578B786AA5D3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17" name="Text Box 249">
          <a:extLst>
            <a:ext uri="{FF2B5EF4-FFF2-40B4-BE49-F238E27FC236}">
              <a16:creationId xmlns:a16="http://schemas.microsoft.com/office/drawing/2014/main" id="{B18686BB-9F6F-4D18-874A-FCEEF3BAC78F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8" name="Text Box 249">
          <a:extLst>
            <a:ext uri="{FF2B5EF4-FFF2-40B4-BE49-F238E27FC236}">
              <a16:creationId xmlns:a16="http://schemas.microsoft.com/office/drawing/2014/main" id="{35A94FA8-43B2-4F2A-A693-2C4CD852D34F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19" name="Text Box 249">
          <a:extLst>
            <a:ext uri="{FF2B5EF4-FFF2-40B4-BE49-F238E27FC236}">
              <a16:creationId xmlns:a16="http://schemas.microsoft.com/office/drawing/2014/main" id="{9D188ADA-016D-431C-912C-2841C909DCC5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0" name="Text Box 249">
          <a:extLst>
            <a:ext uri="{FF2B5EF4-FFF2-40B4-BE49-F238E27FC236}">
              <a16:creationId xmlns:a16="http://schemas.microsoft.com/office/drawing/2014/main" id="{2550D566-AA5D-4C8C-9552-37841EA50E9B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1" name="Text Box 249">
          <a:extLst>
            <a:ext uri="{FF2B5EF4-FFF2-40B4-BE49-F238E27FC236}">
              <a16:creationId xmlns:a16="http://schemas.microsoft.com/office/drawing/2014/main" id="{CE48C8BF-8B4E-41E2-9F1A-E657E97E469E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2" name="Text Box 249">
          <a:extLst>
            <a:ext uri="{FF2B5EF4-FFF2-40B4-BE49-F238E27FC236}">
              <a16:creationId xmlns:a16="http://schemas.microsoft.com/office/drawing/2014/main" id="{CD6EE79A-F152-433B-86CC-579536A83858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3" name="Text Box 249">
          <a:extLst>
            <a:ext uri="{FF2B5EF4-FFF2-40B4-BE49-F238E27FC236}">
              <a16:creationId xmlns:a16="http://schemas.microsoft.com/office/drawing/2014/main" id="{0DAD680E-4180-4B6C-A383-F93F5D69A0F3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24" name="Text Box 249">
          <a:extLst>
            <a:ext uri="{FF2B5EF4-FFF2-40B4-BE49-F238E27FC236}">
              <a16:creationId xmlns:a16="http://schemas.microsoft.com/office/drawing/2014/main" id="{87D766EF-AC60-464C-9D18-2793A66DAA53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25" name="Text Box 249">
          <a:extLst>
            <a:ext uri="{FF2B5EF4-FFF2-40B4-BE49-F238E27FC236}">
              <a16:creationId xmlns:a16="http://schemas.microsoft.com/office/drawing/2014/main" id="{D04A60B8-BB10-4D9D-B2E9-086793383818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6" name="Text Box 249">
          <a:extLst>
            <a:ext uri="{FF2B5EF4-FFF2-40B4-BE49-F238E27FC236}">
              <a16:creationId xmlns:a16="http://schemas.microsoft.com/office/drawing/2014/main" id="{6E354F61-8695-42AA-B51A-61EAE266084E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7" name="Text Box 249">
          <a:extLst>
            <a:ext uri="{FF2B5EF4-FFF2-40B4-BE49-F238E27FC236}">
              <a16:creationId xmlns:a16="http://schemas.microsoft.com/office/drawing/2014/main" id="{78FC030A-8A3A-49F9-AD7E-A9FAD3A342D6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8" name="Text Box 249">
          <a:extLst>
            <a:ext uri="{FF2B5EF4-FFF2-40B4-BE49-F238E27FC236}">
              <a16:creationId xmlns:a16="http://schemas.microsoft.com/office/drawing/2014/main" id="{5E1181ED-3A91-43D1-B006-5D59F9C1ACE5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29" name="Text Box 249">
          <a:extLst>
            <a:ext uri="{FF2B5EF4-FFF2-40B4-BE49-F238E27FC236}">
              <a16:creationId xmlns:a16="http://schemas.microsoft.com/office/drawing/2014/main" id="{A7E1B1C3-DACB-40DA-9226-DB8B76202978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0" name="Text Box 249">
          <a:extLst>
            <a:ext uri="{FF2B5EF4-FFF2-40B4-BE49-F238E27FC236}">
              <a16:creationId xmlns:a16="http://schemas.microsoft.com/office/drawing/2014/main" id="{C00FAD62-6BD1-4B3B-80A4-0D82DA55AEAB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1" name="Text Box 249">
          <a:extLst>
            <a:ext uri="{FF2B5EF4-FFF2-40B4-BE49-F238E27FC236}">
              <a16:creationId xmlns:a16="http://schemas.microsoft.com/office/drawing/2014/main" id="{362BA157-EFB7-4A1E-BCDC-FB087E4FA1C5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32" name="Text Box 249">
          <a:extLst>
            <a:ext uri="{FF2B5EF4-FFF2-40B4-BE49-F238E27FC236}">
              <a16:creationId xmlns:a16="http://schemas.microsoft.com/office/drawing/2014/main" id="{96B2646B-5758-4EC1-9266-15E1ED776AA3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33" name="Text Box 249">
          <a:extLst>
            <a:ext uri="{FF2B5EF4-FFF2-40B4-BE49-F238E27FC236}">
              <a16:creationId xmlns:a16="http://schemas.microsoft.com/office/drawing/2014/main" id="{9C109C21-57C2-4E3D-BBCB-009D15D1C9A9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4" name="Text Box 249">
          <a:extLst>
            <a:ext uri="{FF2B5EF4-FFF2-40B4-BE49-F238E27FC236}">
              <a16:creationId xmlns:a16="http://schemas.microsoft.com/office/drawing/2014/main" id="{6E545643-49CE-4531-85CB-C254C128FC81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5" name="Text Box 249">
          <a:extLst>
            <a:ext uri="{FF2B5EF4-FFF2-40B4-BE49-F238E27FC236}">
              <a16:creationId xmlns:a16="http://schemas.microsoft.com/office/drawing/2014/main" id="{2348665D-B957-454F-B0EC-7ADFEA7F6755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6" name="Text Box 249">
          <a:extLst>
            <a:ext uri="{FF2B5EF4-FFF2-40B4-BE49-F238E27FC236}">
              <a16:creationId xmlns:a16="http://schemas.microsoft.com/office/drawing/2014/main" id="{FE694847-6A03-40AA-A0D9-3B789B7B4F85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7" name="Text Box 249">
          <a:extLst>
            <a:ext uri="{FF2B5EF4-FFF2-40B4-BE49-F238E27FC236}">
              <a16:creationId xmlns:a16="http://schemas.microsoft.com/office/drawing/2014/main" id="{9354BEF2-5B40-418A-B3FA-DFB77193AC5B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8" name="Text Box 249">
          <a:extLst>
            <a:ext uri="{FF2B5EF4-FFF2-40B4-BE49-F238E27FC236}">
              <a16:creationId xmlns:a16="http://schemas.microsoft.com/office/drawing/2014/main" id="{4D55C438-A09C-4995-8133-6DC89A5B3792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39" name="Text Box 249">
          <a:extLst>
            <a:ext uri="{FF2B5EF4-FFF2-40B4-BE49-F238E27FC236}">
              <a16:creationId xmlns:a16="http://schemas.microsoft.com/office/drawing/2014/main" id="{7CC77089-B06B-4C7A-949F-06FCEFB525A6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40" name="Text Box 249">
          <a:extLst>
            <a:ext uri="{FF2B5EF4-FFF2-40B4-BE49-F238E27FC236}">
              <a16:creationId xmlns:a16="http://schemas.microsoft.com/office/drawing/2014/main" id="{6839F834-CABB-4514-A499-90C278DD22A2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41" name="Text Box 249">
          <a:extLst>
            <a:ext uri="{FF2B5EF4-FFF2-40B4-BE49-F238E27FC236}">
              <a16:creationId xmlns:a16="http://schemas.microsoft.com/office/drawing/2014/main" id="{32F0F3EB-3E45-4E40-AEDF-F3546849C84F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2" name="Text Box 249">
          <a:extLst>
            <a:ext uri="{FF2B5EF4-FFF2-40B4-BE49-F238E27FC236}">
              <a16:creationId xmlns:a16="http://schemas.microsoft.com/office/drawing/2014/main" id="{EE1631C7-A249-4935-A325-07AC06BA901B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3" name="Text Box 249">
          <a:extLst>
            <a:ext uri="{FF2B5EF4-FFF2-40B4-BE49-F238E27FC236}">
              <a16:creationId xmlns:a16="http://schemas.microsoft.com/office/drawing/2014/main" id="{92AED160-CCE8-46B0-80B7-F47404A0F62E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4" name="Text Box 249">
          <a:extLst>
            <a:ext uri="{FF2B5EF4-FFF2-40B4-BE49-F238E27FC236}">
              <a16:creationId xmlns:a16="http://schemas.microsoft.com/office/drawing/2014/main" id="{DEF908A1-820C-4F69-8B32-66E39BAC6F42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5" name="Text Box 249">
          <a:extLst>
            <a:ext uri="{FF2B5EF4-FFF2-40B4-BE49-F238E27FC236}">
              <a16:creationId xmlns:a16="http://schemas.microsoft.com/office/drawing/2014/main" id="{691069BD-BC22-4CEF-99DF-9D82FF978DD8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6" name="Text Box 249">
          <a:extLst>
            <a:ext uri="{FF2B5EF4-FFF2-40B4-BE49-F238E27FC236}">
              <a16:creationId xmlns:a16="http://schemas.microsoft.com/office/drawing/2014/main" id="{879E98AA-1642-4DBE-AECD-713F973820B0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47" name="Text Box 249">
          <a:extLst>
            <a:ext uri="{FF2B5EF4-FFF2-40B4-BE49-F238E27FC236}">
              <a16:creationId xmlns:a16="http://schemas.microsoft.com/office/drawing/2014/main" id="{4B72F26B-ED04-427F-A98D-6125DD18BD7B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48" name="Text Box 249">
          <a:extLst>
            <a:ext uri="{FF2B5EF4-FFF2-40B4-BE49-F238E27FC236}">
              <a16:creationId xmlns:a16="http://schemas.microsoft.com/office/drawing/2014/main" id="{A8BB2954-686B-422A-9A32-2D29E7F86BA1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17326" cy="218324"/>
    <xdr:sp macro="" textlink="">
      <xdr:nvSpPr>
        <xdr:cNvPr id="849" name="Text Box 249">
          <a:extLst>
            <a:ext uri="{FF2B5EF4-FFF2-40B4-BE49-F238E27FC236}">
              <a16:creationId xmlns:a16="http://schemas.microsoft.com/office/drawing/2014/main" id="{765B4EA5-069A-48B6-A202-C88D95C9D7F7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0" name="Text Box 249">
          <a:extLst>
            <a:ext uri="{FF2B5EF4-FFF2-40B4-BE49-F238E27FC236}">
              <a16:creationId xmlns:a16="http://schemas.microsoft.com/office/drawing/2014/main" id="{73DC6C2A-F9D5-4FE9-A80A-0742567B4726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1" name="Text Box 249">
          <a:extLst>
            <a:ext uri="{FF2B5EF4-FFF2-40B4-BE49-F238E27FC236}">
              <a16:creationId xmlns:a16="http://schemas.microsoft.com/office/drawing/2014/main" id="{4877CF68-62C0-42C2-8623-261F00DB2619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2" name="Text Box 249">
          <a:extLst>
            <a:ext uri="{FF2B5EF4-FFF2-40B4-BE49-F238E27FC236}">
              <a16:creationId xmlns:a16="http://schemas.microsoft.com/office/drawing/2014/main" id="{7958940F-E971-4D96-ACB8-16392583489E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3" name="Text Box 249">
          <a:extLst>
            <a:ext uri="{FF2B5EF4-FFF2-40B4-BE49-F238E27FC236}">
              <a16:creationId xmlns:a16="http://schemas.microsoft.com/office/drawing/2014/main" id="{28F40311-BC58-4508-B0FF-3250ECEAC996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4" name="Text Box 249">
          <a:extLst>
            <a:ext uri="{FF2B5EF4-FFF2-40B4-BE49-F238E27FC236}">
              <a16:creationId xmlns:a16="http://schemas.microsoft.com/office/drawing/2014/main" id="{1EE961A8-C314-42AF-83B1-C58091B84C4F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594</xdr:row>
      <xdr:rowOff>0</xdr:rowOff>
    </xdr:from>
    <xdr:ext cx="104775" cy="208801"/>
    <xdr:sp macro="" textlink="">
      <xdr:nvSpPr>
        <xdr:cNvPr id="855" name="Text Box 249">
          <a:extLst>
            <a:ext uri="{FF2B5EF4-FFF2-40B4-BE49-F238E27FC236}">
              <a16:creationId xmlns:a16="http://schemas.microsoft.com/office/drawing/2014/main" id="{63CE99A9-56E2-421E-87A0-363267F90116}"/>
            </a:ext>
          </a:extLst>
        </xdr:cNvPr>
        <xdr:cNvSpPr txBox="1">
          <a:spLocks noChangeArrowheads="1"/>
        </xdr:cNvSpPr>
      </xdr:nvSpPr>
      <xdr:spPr bwMode="auto">
        <a:xfrm>
          <a:off x="9555480" y="101109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594</xdr:row>
      <xdr:rowOff>0</xdr:rowOff>
    </xdr:from>
    <xdr:ext cx="104775" cy="210011"/>
    <xdr:sp macro="" textlink="">
      <xdr:nvSpPr>
        <xdr:cNvPr id="856" name="Text Box 249">
          <a:extLst>
            <a:ext uri="{FF2B5EF4-FFF2-40B4-BE49-F238E27FC236}">
              <a16:creationId xmlns:a16="http://schemas.microsoft.com/office/drawing/2014/main" id="{8101DD48-449D-4307-BF7D-887A8029F30E}"/>
            </a:ext>
          </a:extLst>
        </xdr:cNvPr>
        <xdr:cNvSpPr txBox="1">
          <a:spLocks noChangeArrowheads="1"/>
        </xdr:cNvSpPr>
      </xdr:nvSpPr>
      <xdr:spPr bwMode="auto">
        <a:xfrm>
          <a:off x="9558020" y="1011097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57" name="Text Box 249">
          <a:extLst>
            <a:ext uri="{FF2B5EF4-FFF2-40B4-BE49-F238E27FC236}">
              <a16:creationId xmlns:a16="http://schemas.microsoft.com/office/drawing/2014/main" id="{3706B261-DB2A-44FA-8792-C94D23245379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58" name="Text Box 249">
          <a:extLst>
            <a:ext uri="{FF2B5EF4-FFF2-40B4-BE49-F238E27FC236}">
              <a16:creationId xmlns:a16="http://schemas.microsoft.com/office/drawing/2014/main" id="{D1F782AD-7782-4DFB-B3C4-09AB4728D470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59" name="Text Box 249">
          <a:extLst>
            <a:ext uri="{FF2B5EF4-FFF2-40B4-BE49-F238E27FC236}">
              <a16:creationId xmlns:a16="http://schemas.microsoft.com/office/drawing/2014/main" id="{16849B26-1416-4B6B-B778-569D068754AC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0" name="Text Box 249">
          <a:extLst>
            <a:ext uri="{FF2B5EF4-FFF2-40B4-BE49-F238E27FC236}">
              <a16:creationId xmlns:a16="http://schemas.microsoft.com/office/drawing/2014/main" id="{3A28F9BF-4EF6-4F98-B5B4-EBC2500EB881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1" name="Text Box 249">
          <a:extLst>
            <a:ext uri="{FF2B5EF4-FFF2-40B4-BE49-F238E27FC236}">
              <a16:creationId xmlns:a16="http://schemas.microsoft.com/office/drawing/2014/main" id="{1A7701B1-E637-4403-ABA5-CCB3C90BA1D1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2" name="Text Box 249">
          <a:extLst>
            <a:ext uri="{FF2B5EF4-FFF2-40B4-BE49-F238E27FC236}">
              <a16:creationId xmlns:a16="http://schemas.microsoft.com/office/drawing/2014/main" id="{B0B15704-A8ED-45EB-885A-B54197EBB612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3" name="Text Box 249">
          <a:extLst>
            <a:ext uri="{FF2B5EF4-FFF2-40B4-BE49-F238E27FC236}">
              <a16:creationId xmlns:a16="http://schemas.microsoft.com/office/drawing/2014/main" id="{2909E84A-8CE8-41B1-8D60-EC50C9B1E43A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864" name="Text Box 249">
          <a:extLst>
            <a:ext uri="{FF2B5EF4-FFF2-40B4-BE49-F238E27FC236}">
              <a16:creationId xmlns:a16="http://schemas.microsoft.com/office/drawing/2014/main" id="{5C5684F7-E79A-4C15-B67A-F1D5F95F20C8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65" name="Text Box 249">
          <a:extLst>
            <a:ext uri="{FF2B5EF4-FFF2-40B4-BE49-F238E27FC236}">
              <a16:creationId xmlns:a16="http://schemas.microsoft.com/office/drawing/2014/main" id="{0198A7A0-A4D0-47F3-995E-22875E52C343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6" name="Text Box 249">
          <a:extLst>
            <a:ext uri="{FF2B5EF4-FFF2-40B4-BE49-F238E27FC236}">
              <a16:creationId xmlns:a16="http://schemas.microsoft.com/office/drawing/2014/main" id="{BD590C36-5F87-44C7-8776-A06C8BEC1F19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7" name="Text Box 249">
          <a:extLst>
            <a:ext uri="{FF2B5EF4-FFF2-40B4-BE49-F238E27FC236}">
              <a16:creationId xmlns:a16="http://schemas.microsoft.com/office/drawing/2014/main" id="{79604D67-6E0D-4DC9-8DC7-31CA74E27D2F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8" name="Text Box 249">
          <a:extLst>
            <a:ext uri="{FF2B5EF4-FFF2-40B4-BE49-F238E27FC236}">
              <a16:creationId xmlns:a16="http://schemas.microsoft.com/office/drawing/2014/main" id="{AD075FC4-4E72-4DDA-BCCF-AB861FD81C30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69" name="Text Box 249">
          <a:extLst>
            <a:ext uri="{FF2B5EF4-FFF2-40B4-BE49-F238E27FC236}">
              <a16:creationId xmlns:a16="http://schemas.microsoft.com/office/drawing/2014/main" id="{4D3ECB5A-082A-4271-A6A6-C3D1FB377683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0" name="Text Box 249">
          <a:extLst>
            <a:ext uri="{FF2B5EF4-FFF2-40B4-BE49-F238E27FC236}">
              <a16:creationId xmlns:a16="http://schemas.microsoft.com/office/drawing/2014/main" id="{93F9AC44-9363-44CE-8869-5C32FE9B801E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1" name="Text Box 249">
          <a:extLst>
            <a:ext uri="{FF2B5EF4-FFF2-40B4-BE49-F238E27FC236}">
              <a16:creationId xmlns:a16="http://schemas.microsoft.com/office/drawing/2014/main" id="{80A29F95-1673-4543-865C-64F0ED74F8B4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872" name="Text Box 249">
          <a:extLst>
            <a:ext uri="{FF2B5EF4-FFF2-40B4-BE49-F238E27FC236}">
              <a16:creationId xmlns:a16="http://schemas.microsoft.com/office/drawing/2014/main" id="{AE5CDD07-A25E-49EC-B819-612BA5100621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73" name="Text Box 249">
          <a:extLst>
            <a:ext uri="{FF2B5EF4-FFF2-40B4-BE49-F238E27FC236}">
              <a16:creationId xmlns:a16="http://schemas.microsoft.com/office/drawing/2014/main" id="{E5D58686-C5A9-45D8-864E-B5D0D596CE31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4" name="Text Box 249">
          <a:extLst>
            <a:ext uri="{FF2B5EF4-FFF2-40B4-BE49-F238E27FC236}">
              <a16:creationId xmlns:a16="http://schemas.microsoft.com/office/drawing/2014/main" id="{BF8DD89A-1FEA-45C9-9455-9FFD813A0B13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5" name="Text Box 249">
          <a:extLst>
            <a:ext uri="{FF2B5EF4-FFF2-40B4-BE49-F238E27FC236}">
              <a16:creationId xmlns:a16="http://schemas.microsoft.com/office/drawing/2014/main" id="{6AA30893-9C76-4B22-8A43-EE9B188C48D7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6" name="Text Box 249">
          <a:extLst>
            <a:ext uri="{FF2B5EF4-FFF2-40B4-BE49-F238E27FC236}">
              <a16:creationId xmlns:a16="http://schemas.microsoft.com/office/drawing/2014/main" id="{04F75088-EDD0-45FD-AB1D-A2E3D7085E99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7" name="Text Box 249">
          <a:extLst>
            <a:ext uri="{FF2B5EF4-FFF2-40B4-BE49-F238E27FC236}">
              <a16:creationId xmlns:a16="http://schemas.microsoft.com/office/drawing/2014/main" id="{E423205E-CA1F-4017-AF55-C337F0FED3B7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8" name="Text Box 249">
          <a:extLst>
            <a:ext uri="{FF2B5EF4-FFF2-40B4-BE49-F238E27FC236}">
              <a16:creationId xmlns:a16="http://schemas.microsoft.com/office/drawing/2014/main" id="{58520E0B-3816-46DB-B16E-807EA6128DBF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79" name="Text Box 249">
          <a:extLst>
            <a:ext uri="{FF2B5EF4-FFF2-40B4-BE49-F238E27FC236}">
              <a16:creationId xmlns:a16="http://schemas.microsoft.com/office/drawing/2014/main" id="{BE51670C-2017-441F-8EB3-50EAC014136B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880" name="Text Box 249">
          <a:extLst>
            <a:ext uri="{FF2B5EF4-FFF2-40B4-BE49-F238E27FC236}">
              <a16:creationId xmlns:a16="http://schemas.microsoft.com/office/drawing/2014/main" id="{83D523CC-2A6B-44A8-89FD-F06DC1F2088C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81" name="Text Box 249">
          <a:extLst>
            <a:ext uri="{FF2B5EF4-FFF2-40B4-BE49-F238E27FC236}">
              <a16:creationId xmlns:a16="http://schemas.microsoft.com/office/drawing/2014/main" id="{9C1EF6C9-2FF9-432D-BC64-C515D9A08224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2" name="Text Box 249">
          <a:extLst>
            <a:ext uri="{FF2B5EF4-FFF2-40B4-BE49-F238E27FC236}">
              <a16:creationId xmlns:a16="http://schemas.microsoft.com/office/drawing/2014/main" id="{7951648F-F0E1-4547-B91E-B0621E510A2B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3" name="Text Box 249">
          <a:extLst>
            <a:ext uri="{FF2B5EF4-FFF2-40B4-BE49-F238E27FC236}">
              <a16:creationId xmlns:a16="http://schemas.microsoft.com/office/drawing/2014/main" id="{4EA363CE-2FF6-4232-8460-CBE242446B73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4" name="Text Box 249">
          <a:extLst>
            <a:ext uri="{FF2B5EF4-FFF2-40B4-BE49-F238E27FC236}">
              <a16:creationId xmlns:a16="http://schemas.microsoft.com/office/drawing/2014/main" id="{41BDCA39-C65E-41F9-8A7F-25CA3791462A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5" name="Text Box 249">
          <a:extLst>
            <a:ext uri="{FF2B5EF4-FFF2-40B4-BE49-F238E27FC236}">
              <a16:creationId xmlns:a16="http://schemas.microsoft.com/office/drawing/2014/main" id="{9BB380A2-A3D3-4065-9E13-22B96A92CA5E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6" name="Text Box 249">
          <a:extLst>
            <a:ext uri="{FF2B5EF4-FFF2-40B4-BE49-F238E27FC236}">
              <a16:creationId xmlns:a16="http://schemas.microsoft.com/office/drawing/2014/main" id="{AD28BD0A-8E20-450B-A60B-C6F34D8FABD6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87" name="Text Box 249">
          <a:extLst>
            <a:ext uri="{FF2B5EF4-FFF2-40B4-BE49-F238E27FC236}">
              <a16:creationId xmlns:a16="http://schemas.microsoft.com/office/drawing/2014/main" id="{3EEF3BBE-25CC-4FCC-8B9A-EC4C604CE29C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888" name="Text Box 249">
          <a:extLst>
            <a:ext uri="{FF2B5EF4-FFF2-40B4-BE49-F238E27FC236}">
              <a16:creationId xmlns:a16="http://schemas.microsoft.com/office/drawing/2014/main" id="{B6793EFA-2BD0-43D9-AC7F-3623E267BC94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89" name="Text Box 249">
          <a:extLst>
            <a:ext uri="{FF2B5EF4-FFF2-40B4-BE49-F238E27FC236}">
              <a16:creationId xmlns:a16="http://schemas.microsoft.com/office/drawing/2014/main" id="{9FA84D3A-9F06-436F-BF6E-7D07E1280E7E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0" name="Text Box 249">
          <a:extLst>
            <a:ext uri="{FF2B5EF4-FFF2-40B4-BE49-F238E27FC236}">
              <a16:creationId xmlns:a16="http://schemas.microsoft.com/office/drawing/2014/main" id="{70803C47-08B0-4879-BA7A-12D3679E9753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1" name="Text Box 249">
          <a:extLst>
            <a:ext uri="{FF2B5EF4-FFF2-40B4-BE49-F238E27FC236}">
              <a16:creationId xmlns:a16="http://schemas.microsoft.com/office/drawing/2014/main" id="{BA4A3E2A-4C7F-4E3A-843F-2691EB3B7331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2" name="Text Box 249">
          <a:extLst>
            <a:ext uri="{FF2B5EF4-FFF2-40B4-BE49-F238E27FC236}">
              <a16:creationId xmlns:a16="http://schemas.microsoft.com/office/drawing/2014/main" id="{780C7135-5E46-49E0-9200-DA996310F854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3" name="Text Box 249">
          <a:extLst>
            <a:ext uri="{FF2B5EF4-FFF2-40B4-BE49-F238E27FC236}">
              <a16:creationId xmlns:a16="http://schemas.microsoft.com/office/drawing/2014/main" id="{D5596935-EEF8-43FD-B6B2-BA1040987434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4" name="Text Box 249">
          <a:extLst>
            <a:ext uri="{FF2B5EF4-FFF2-40B4-BE49-F238E27FC236}">
              <a16:creationId xmlns:a16="http://schemas.microsoft.com/office/drawing/2014/main" id="{57AAF1F0-56EC-4C08-B389-3C8B1EB48B98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5" name="Text Box 249">
          <a:extLst>
            <a:ext uri="{FF2B5EF4-FFF2-40B4-BE49-F238E27FC236}">
              <a16:creationId xmlns:a16="http://schemas.microsoft.com/office/drawing/2014/main" id="{ADF6E050-9F96-47E3-856B-B31B441EA4B8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896" name="Text Box 249">
          <a:extLst>
            <a:ext uri="{FF2B5EF4-FFF2-40B4-BE49-F238E27FC236}">
              <a16:creationId xmlns:a16="http://schemas.microsoft.com/office/drawing/2014/main" id="{A2A93C70-6BA8-4AE8-AE17-56114A664555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897" name="Text Box 249">
          <a:extLst>
            <a:ext uri="{FF2B5EF4-FFF2-40B4-BE49-F238E27FC236}">
              <a16:creationId xmlns:a16="http://schemas.microsoft.com/office/drawing/2014/main" id="{F52F7F91-395F-42EF-8B5D-C22FE29F80A2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8" name="Text Box 249">
          <a:extLst>
            <a:ext uri="{FF2B5EF4-FFF2-40B4-BE49-F238E27FC236}">
              <a16:creationId xmlns:a16="http://schemas.microsoft.com/office/drawing/2014/main" id="{52BF9A19-FBAB-4366-B994-FC92850A8A91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899" name="Text Box 249">
          <a:extLst>
            <a:ext uri="{FF2B5EF4-FFF2-40B4-BE49-F238E27FC236}">
              <a16:creationId xmlns:a16="http://schemas.microsoft.com/office/drawing/2014/main" id="{57ABE251-B54D-4DEE-938A-ED2B28A9E586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0" name="Text Box 249">
          <a:extLst>
            <a:ext uri="{FF2B5EF4-FFF2-40B4-BE49-F238E27FC236}">
              <a16:creationId xmlns:a16="http://schemas.microsoft.com/office/drawing/2014/main" id="{E9190412-57B2-431B-8621-A455775259AC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1" name="Text Box 249">
          <a:extLst>
            <a:ext uri="{FF2B5EF4-FFF2-40B4-BE49-F238E27FC236}">
              <a16:creationId xmlns:a16="http://schemas.microsoft.com/office/drawing/2014/main" id="{BDCF577A-A4BA-485B-9D86-1532155CC3D0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2" name="Text Box 249">
          <a:extLst>
            <a:ext uri="{FF2B5EF4-FFF2-40B4-BE49-F238E27FC236}">
              <a16:creationId xmlns:a16="http://schemas.microsoft.com/office/drawing/2014/main" id="{CCFAE960-1679-40A5-84CC-38048FA422A7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3" name="Text Box 249">
          <a:extLst>
            <a:ext uri="{FF2B5EF4-FFF2-40B4-BE49-F238E27FC236}">
              <a16:creationId xmlns:a16="http://schemas.microsoft.com/office/drawing/2014/main" id="{F512E2C5-A0E8-4F5B-AF15-750A3C3C23D7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904" name="Text Box 249">
          <a:extLst>
            <a:ext uri="{FF2B5EF4-FFF2-40B4-BE49-F238E27FC236}">
              <a16:creationId xmlns:a16="http://schemas.microsoft.com/office/drawing/2014/main" id="{C6CDB274-FC41-45A8-87F0-62D0FB979E3E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905" name="Text Box 249">
          <a:extLst>
            <a:ext uri="{FF2B5EF4-FFF2-40B4-BE49-F238E27FC236}">
              <a16:creationId xmlns:a16="http://schemas.microsoft.com/office/drawing/2014/main" id="{F8DB0AA7-C1B3-4F5C-A33D-BA21F6AC1A6E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6" name="Text Box 249">
          <a:extLst>
            <a:ext uri="{FF2B5EF4-FFF2-40B4-BE49-F238E27FC236}">
              <a16:creationId xmlns:a16="http://schemas.microsoft.com/office/drawing/2014/main" id="{9EBC3AAE-1C90-4518-B903-44A97F48C1EE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7" name="Text Box 249">
          <a:extLst>
            <a:ext uri="{FF2B5EF4-FFF2-40B4-BE49-F238E27FC236}">
              <a16:creationId xmlns:a16="http://schemas.microsoft.com/office/drawing/2014/main" id="{8C6E829A-411D-462E-A3AE-EC462DFE309B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8" name="Text Box 249">
          <a:extLst>
            <a:ext uri="{FF2B5EF4-FFF2-40B4-BE49-F238E27FC236}">
              <a16:creationId xmlns:a16="http://schemas.microsoft.com/office/drawing/2014/main" id="{2958110C-2E9E-4567-8EEA-23E891ABAE78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09" name="Text Box 249">
          <a:extLst>
            <a:ext uri="{FF2B5EF4-FFF2-40B4-BE49-F238E27FC236}">
              <a16:creationId xmlns:a16="http://schemas.microsoft.com/office/drawing/2014/main" id="{EFD341AD-5EE4-4946-8BD8-07015950296F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0" name="Text Box 249">
          <a:extLst>
            <a:ext uri="{FF2B5EF4-FFF2-40B4-BE49-F238E27FC236}">
              <a16:creationId xmlns:a16="http://schemas.microsoft.com/office/drawing/2014/main" id="{30EC1C4D-AFB4-430A-BAC6-B5C39327CE3D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1" name="Text Box 249">
          <a:extLst>
            <a:ext uri="{FF2B5EF4-FFF2-40B4-BE49-F238E27FC236}">
              <a16:creationId xmlns:a16="http://schemas.microsoft.com/office/drawing/2014/main" id="{E5589C0E-CD12-4B54-BF5B-2527D35773BF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912" name="Text Box 249">
          <a:extLst>
            <a:ext uri="{FF2B5EF4-FFF2-40B4-BE49-F238E27FC236}">
              <a16:creationId xmlns:a16="http://schemas.microsoft.com/office/drawing/2014/main" id="{0F1F113F-92C4-4C92-880F-1C075B8D1AFF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17326" cy="218324"/>
    <xdr:sp macro="" textlink="">
      <xdr:nvSpPr>
        <xdr:cNvPr id="913" name="Text Box 249">
          <a:extLst>
            <a:ext uri="{FF2B5EF4-FFF2-40B4-BE49-F238E27FC236}">
              <a16:creationId xmlns:a16="http://schemas.microsoft.com/office/drawing/2014/main" id="{14FF033B-4475-4F79-980E-18825FB71731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4" name="Text Box 249">
          <a:extLst>
            <a:ext uri="{FF2B5EF4-FFF2-40B4-BE49-F238E27FC236}">
              <a16:creationId xmlns:a16="http://schemas.microsoft.com/office/drawing/2014/main" id="{1145B44A-8315-490F-97A4-B8B492178691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5" name="Text Box 249">
          <a:extLst>
            <a:ext uri="{FF2B5EF4-FFF2-40B4-BE49-F238E27FC236}">
              <a16:creationId xmlns:a16="http://schemas.microsoft.com/office/drawing/2014/main" id="{D823AF3F-2875-442B-B132-D3F1917BF795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6" name="Text Box 249">
          <a:extLst>
            <a:ext uri="{FF2B5EF4-FFF2-40B4-BE49-F238E27FC236}">
              <a16:creationId xmlns:a16="http://schemas.microsoft.com/office/drawing/2014/main" id="{9E7AAA97-D7FB-4D97-AAEF-E09B19F72E4B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7" name="Text Box 249">
          <a:extLst>
            <a:ext uri="{FF2B5EF4-FFF2-40B4-BE49-F238E27FC236}">
              <a16:creationId xmlns:a16="http://schemas.microsoft.com/office/drawing/2014/main" id="{0DE1F7EA-22FC-4264-AE5B-203EA78E4D0A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8" name="Text Box 249">
          <a:extLst>
            <a:ext uri="{FF2B5EF4-FFF2-40B4-BE49-F238E27FC236}">
              <a16:creationId xmlns:a16="http://schemas.microsoft.com/office/drawing/2014/main" id="{4D94AC01-BEF5-4838-BC5A-068C9866A027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84</xdr:row>
      <xdr:rowOff>0</xdr:rowOff>
    </xdr:from>
    <xdr:ext cx="104775" cy="208801"/>
    <xdr:sp macro="" textlink="">
      <xdr:nvSpPr>
        <xdr:cNvPr id="919" name="Text Box 249">
          <a:extLst>
            <a:ext uri="{FF2B5EF4-FFF2-40B4-BE49-F238E27FC236}">
              <a16:creationId xmlns:a16="http://schemas.microsoft.com/office/drawing/2014/main" id="{A698507B-7CD4-4C5A-A65B-5873D9A042A6}"/>
            </a:ext>
          </a:extLst>
        </xdr:cNvPr>
        <xdr:cNvSpPr txBox="1">
          <a:spLocks noChangeArrowheads="1"/>
        </xdr:cNvSpPr>
      </xdr:nvSpPr>
      <xdr:spPr bwMode="auto">
        <a:xfrm>
          <a:off x="9555480" y="15095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84</xdr:row>
      <xdr:rowOff>0</xdr:rowOff>
    </xdr:from>
    <xdr:ext cx="104775" cy="210011"/>
    <xdr:sp macro="" textlink="">
      <xdr:nvSpPr>
        <xdr:cNvPr id="920" name="Text Box 249">
          <a:extLst>
            <a:ext uri="{FF2B5EF4-FFF2-40B4-BE49-F238E27FC236}">
              <a16:creationId xmlns:a16="http://schemas.microsoft.com/office/drawing/2014/main" id="{1F795C62-371D-4E32-A4AB-0C4650A3EBEE}"/>
            </a:ext>
          </a:extLst>
        </xdr:cNvPr>
        <xdr:cNvSpPr txBox="1">
          <a:spLocks noChangeArrowheads="1"/>
        </xdr:cNvSpPr>
      </xdr:nvSpPr>
      <xdr:spPr bwMode="auto">
        <a:xfrm>
          <a:off x="9558020" y="150952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98</xdr:row>
      <xdr:rowOff>0</xdr:rowOff>
    </xdr:from>
    <xdr:ext cx="117326" cy="218324"/>
    <xdr:sp macro="" textlink="">
      <xdr:nvSpPr>
        <xdr:cNvPr id="921" name="Text Box 249">
          <a:extLst>
            <a:ext uri="{FF2B5EF4-FFF2-40B4-BE49-F238E27FC236}">
              <a16:creationId xmlns:a16="http://schemas.microsoft.com/office/drawing/2014/main" id="{D2BE0346-3B73-4163-A455-1D52BA2D29A5}"/>
            </a:ext>
          </a:extLst>
        </xdr:cNvPr>
        <xdr:cNvSpPr txBox="1">
          <a:spLocks noChangeArrowheads="1"/>
        </xdr:cNvSpPr>
      </xdr:nvSpPr>
      <xdr:spPr bwMode="auto">
        <a:xfrm>
          <a:off x="9558020" y="174421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2" name="Text Box 249">
          <a:extLst>
            <a:ext uri="{FF2B5EF4-FFF2-40B4-BE49-F238E27FC236}">
              <a16:creationId xmlns:a16="http://schemas.microsoft.com/office/drawing/2014/main" id="{45FBE779-D6F7-4529-B9D4-4C880909F3EF}"/>
            </a:ext>
          </a:extLst>
        </xdr:cNvPr>
        <xdr:cNvSpPr txBox="1">
          <a:spLocks noChangeArrowheads="1"/>
        </xdr:cNvSpPr>
      </xdr:nvSpPr>
      <xdr:spPr bwMode="auto">
        <a:xfrm>
          <a:off x="9555480" y="17442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3" name="Text Box 249">
          <a:extLst>
            <a:ext uri="{FF2B5EF4-FFF2-40B4-BE49-F238E27FC236}">
              <a16:creationId xmlns:a16="http://schemas.microsoft.com/office/drawing/2014/main" id="{0A4CFADF-A8B1-4095-ACD8-4C2E4D7E5BA5}"/>
            </a:ext>
          </a:extLst>
        </xdr:cNvPr>
        <xdr:cNvSpPr txBox="1">
          <a:spLocks noChangeArrowheads="1"/>
        </xdr:cNvSpPr>
      </xdr:nvSpPr>
      <xdr:spPr bwMode="auto">
        <a:xfrm>
          <a:off x="9555480" y="17442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4" name="Text Box 249">
          <a:extLst>
            <a:ext uri="{FF2B5EF4-FFF2-40B4-BE49-F238E27FC236}">
              <a16:creationId xmlns:a16="http://schemas.microsoft.com/office/drawing/2014/main" id="{909F9A76-76DD-4929-99A3-FA613447F57E}"/>
            </a:ext>
          </a:extLst>
        </xdr:cNvPr>
        <xdr:cNvSpPr txBox="1">
          <a:spLocks noChangeArrowheads="1"/>
        </xdr:cNvSpPr>
      </xdr:nvSpPr>
      <xdr:spPr bwMode="auto">
        <a:xfrm>
          <a:off x="9555480" y="17442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5" name="Text Box 249">
          <a:extLst>
            <a:ext uri="{FF2B5EF4-FFF2-40B4-BE49-F238E27FC236}">
              <a16:creationId xmlns:a16="http://schemas.microsoft.com/office/drawing/2014/main" id="{083CBFC4-44A9-416D-A084-E165D6643FF6}"/>
            </a:ext>
          </a:extLst>
        </xdr:cNvPr>
        <xdr:cNvSpPr txBox="1">
          <a:spLocks noChangeArrowheads="1"/>
        </xdr:cNvSpPr>
      </xdr:nvSpPr>
      <xdr:spPr bwMode="auto">
        <a:xfrm>
          <a:off x="9555480" y="17442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6" name="Text Box 249">
          <a:extLst>
            <a:ext uri="{FF2B5EF4-FFF2-40B4-BE49-F238E27FC236}">
              <a16:creationId xmlns:a16="http://schemas.microsoft.com/office/drawing/2014/main" id="{4C015552-A47F-4FA4-A7E6-CCD835160B33}"/>
            </a:ext>
          </a:extLst>
        </xdr:cNvPr>
        <xdr:cNvSpPr txBox="1">
          <a:spLocks noChangeArrowheads="1"/>
        </xdr:cNvSpPr>
      </xdr:nvSpPr>
      <xdr:spPr bwMode="auto">
        <a:xfrm>
          <a:off x="9555480" y="17442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27" name="Text Box 249">
          <a:extLst>
            <a:ext uri="{FF2B5EF4-FFF2-40B4-BE49-F238E27FC236}">
              <a16:creationId xmlns:a16="http://schemas.microsoft.com/office/drawing/2014/main" id="{088EDC07-0298-4FBB-8DAB-D03CF2666530}"/>
            </a:ext>
          </a:extLst>
        </xdr:cNvPr>
        <xdr:cNvSpPr txBox="1">
          <a:spLocks noChangeArrowheads="1"/>
        </xdr:cNvSpPr>
      </xdr:nvSpPr>
      <xdr:spPr bwMode="auto">
        <a:xfrm>
          <a:off x="9555480" y="17442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98</xdr:row>
      <xdr:rowOff>0</xdr:rowOff>
    </xdr:from>
    <xdr:ext cx="104775" cy="210011"/>
    <xdr:sp macro="" textlink="">
      <xdr:nvSpPr>
        <xdr:cNvPr id="928" name="Text Box 249">
          <a:extLst>
            <a:ext uri="{FF2B5EF4-FFF2-40B4-BE49-F238E27FC236}">
              <a16:creationId xmlns:a16="http://schemas.microsoft.com/office/drawing/2014/main" id="{08677D41-21E9-426A-AB7A-8580B9558E78}"/>
            </a:ext>
          </a:extLst>
        </xdr:cNvPr>
        <xdr:cNvSpPr txBox="1">
          <a:spLocks noChangeArrowheads="1"/>
        </xdr:cNvSpPr>
      </xdr:nvSpPr>
      <xdr:spPr bwMode="auto">
        <a:xfrm>
          <a:off x="9558020" y="174421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98</xdr:row>
      <xdr:rowOff>0</xdr:rowOff>
    </xdr:from>
    <xdr:ext cx="117326" cy="218324"/>
    <xdr:sp macro="" textlink="">
      <xdr:nvSpPr>
        <xdr:cNvPr id="929" name="Text Box 249">
          <a:extLst>
            <a:ext uri="{FF2B5EF4-FFF2-40B4-BE49-F238E27FC236}">
              <a16:creationId xmlns:a16="http://schemas.microsoft.com/office/drawing/2014/main" id="{C85EE580-939D-42C6-A378-08C2CE95C2B5}"/>
            </a:ext>
          </a:extLst>
        </xdr:cNvPr>
        <xdr:cNvSpPr txBox="1">
          <a:spLocks noChangeArrowheads="1"/>
        </xdr:cNvSpPr>
      </xdr:nvSpPr>
      <xdr:spPr bwMode="auto">
        <a:xfrm>
          <a:off x="9558020" y="174421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30" name="Text Box 249">
          <a:extLst>
            <a:ext uri="{FF2B5EF4-FFF2-40B4-BE49-F238E27FC236}">
              <a16:creationId xmlns:a16="http://schemas.microsoft.com/office/drawing/2014/main" id="{922B0DD4-2C8A-4DB0-9E08-D2A64BBABEAC}"/>
            </a:ext>
          </a:extLst>
        </xdr:cNvPr>
        <xdr:cNvSpPr txBox="1">
          <a:spLocks noChangeArrowheads="1"/>
        </xdr:cNvSpPr>
      </xdr:nvSpPr>
      <xdr:spPr bwMode="auto">
        <a:xfrm>
          <a:off x="9555480" y="17442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31" name="Text Box 249">
          <a:extLst>
            <a:ext uri="{FF2B5EF4-FFF2-40B4-BE49-F238E27FC236}">
              <a16:creationId xmlns:a16="http://schemas.microsoft.com/office/drawing/2014/main" id="{518A337D-C4B0-4161-9465-36488AC9E5DA}"/>
            </a:ext>
          </a:extLst>
        </xdr:cNvPr>
        <xdr:cNvSpPr txBox="1">
          <a:spLocks noChangeArrowheads="1"/>
        </xdr:cNvSpPr>
      </xdr:nvSpPr>
      <xdr:spPr bwMode="auto">
        <a:xfrm>
          <a:off x="9555480" y="17442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32" name="Text Box 249">
          <a:extLst>
            <a:ext uri="{FF2B5EF4-FFF2-40B4-BE49-F238E27FC236}">
              <a16:creationId xmlns:a16="http://schemas.microsoft.com/office/drawing/2014/main" id="{9562F543-53C2-48B8-8381-78E1BF0B2C44}"/>
            </a:ext>
          </a:extLst>
        </xdr:cNvPr>
        <xdr:cNvSpPr txBox="1">
          <a:spLocks noChangeArrowheads="1"/>
        </xdr:cNvSpPr>
      </xdr:nvSpPr>
      <xdr:spPr bwMode="auto">
        <a:xfrm>
          <a:off x="9555480" y="17442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98</xdr:row>
      <xdr:rowOff>0</xdr:rowOff>
    </xdr:from>
    <xdr:ext cx="104775" cy="208801"/>
    <xdr:sp macro="" textlink="">
      <xdr:nvSpPr>
        <xdr:cNvPr id="933" name="Text Box 249">
          <a:extLst>
            <a:ext uri="{FF2B5EF4-FFF2-40B4-BE49-F238E27FC236}">
              <a16:creationId xmlns:a16="http://schemas.microsoft.com/office/drawing/2014/main" id="{FCF6B579-160C-4A12-8291-BDC3E571A882}"/>
            </a:ext>
          </a:extLst>
        </xdr:cNvPr>
        <xdr:cNvSpPr txBox="1">
          <a:spLocks noChangeArrowheads="1"/>
        </xdr:cNvSpPr>
      </xdr:nvSpPr>
      <xdr:spPr bwMode="auto">
        <a:xfrm>
          <a:off x="9555480" y="174421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99</xdr:row>
      <xdr:rowOff>0</xdr:rowOff>
    </xdr:from>
    <xdr:ext cx="117326" cy="218324"/>
    <xdr:sp macro="" textlink="">
      <xdr:nvSpPr>
        <xdr:cNvPr id="934" name="Text Box 249">
          <a:extLst>
            <a:ext uri="{FF2B5EF4-FFF2-40B4-BE49-F238E27FC236}">
              <a16:creationId xmlns:a16="http://schemas.microsoft.com/office/drawing/2014/main" id="{4EC4284C-F279-4C5A-B49A-2C7FED3542B8}"/>
            </a:ext>
          </a:extLst>
        </xdr:cNvPr>
        <xdr:cNvSpPr txBox="1">
          <a:spLocks noChangeArrowheads="1"/>
        </xdr:cNvSpPr>
      </xdr:nvSpPr>
      <xdr:spPr bwMode="auto">
        <a:xfrm>
          <a:off x="9558020" y="176098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35" name="Text Box 249">
          <a:extLst>
            <a:ext uri="{FF2B5EF4-FFF2-40B4-BE49-F238E27FC236}">
              <a16:creationId xmlns:a16="http://schemas.microsoft.com/office/drawing/2014/main" id="{880DC099-6A79-4283-A330-15C8980CC027}"/>
            </a:ext>
          </a:extLst>
        </xdr:cNvPr>
        <xdr:cNvSpPr txBox="1">
          <a:spLocks noChangeArrowheads="1"/>
        </xdr:cNvSpPr>
      </xdr:nvSpPr>
      <xdr:spPr bwMode="auto">
        <a:xfrm>
          <a:off x="9555480" y="17609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36" name="Text Box 249">
          <a:extLst>
            <a:ext uri="{FF2B5EF4-FFF2-40B4-BE49-F238E27FC236}">
              <a16:creationId xmlns:a16="http://schemas.microsoft.com/office/drawing/2014/main" id="{8D32048B-ACAC-43D0-9E04-E656BC8EEC4F}"/>
            </a:ext>
          </a:extLst>
        </xdr:cNvPr>
        <xdr:cNvSpPr txBox="1">
          <a:spLocks noChangeArrowheads="1"/>
        </xdr:cNvSpPr>
      </xdr:nvSpPr>
      <xdr:spPr bwMode="auto">
        <a:xfrm>
          <a:off x="9555480" y="17609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37" name="Text Box 249">
          <a:extLst>
            <a:ext uri="{FF2B5EF4-FFF2-40B4-BE49-F238E27FC236}">
              <a16:creationId xmlns:a16="http://schemas.microsoft.com/office/drawing/2014/main" id="{621376A5-BD3F-4955-A16F-255891BA52F5}"/>
            </a:ext>
          </a:extLst>
        </xdr:cNvPr>
        <xdr:cNvSpPr txBox="1">
          <a:spLocks noChangeArrowheads="1"/>
        </xdr:cNvSpPr>
      </xdr:nvSpPr>
      <xdr:spPr bwMode="auto">
        <a:xfrm>
          <a:off x="9555480" y="17609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38" name="Text Box 249">
          <a:extLst>
            <a:ext uri="{FF2B5EF4-FFF2-40B4-BE49-F238E27FC236}">
              <a16:creationId xmlns:a16="http://schemas.microsoft.com/office/drawing/2014/main" id="{2D7BF39B-09B2-4F9C-834F-2E683BA84154}"/>
            </a:ext>
          </a:extLst>
        </xdr:cNvPr>
        <xdr:cNvSpPr txBox="1">
          <a:spLocks noChangeArrowheads="1"/>
        </xdr:cNvSpPr>
      </xdr:nvSpPr>
      <xdr:spPr bwMode="auto">
        <a:xfrm>
          <a:off x="9555480" y="17609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39" name="Text Box 249">
          <a:extLst>
            <a:ext uri="{FF2B5EF4-FFF2-40B4-BE49-F238E27FC236}">
              <a16:creationId xmlns:a16="http://schemas.microsoft.com/office/drawing/2014/main" id="{7D9D6FD3-DF6F-4CB9-9212-5A04EC931336}"/>
            </a:ext>
          </a:extLst>
        </xdr:cNvPr>
        <xdr:cNvSpPr txBox="1">
          <a:spLocks noChangeArrowheads="1"/>
        </xdr:cNvSpPr>
      </xdr:nvSpPr>
      <xdr:spPr bwMode="auto">
        <a:xfrm>
          <a:off x="9555480" y="17609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0" name="Text Box 249">
          <a:extLst>
            <a:ext uri="{FF2B5EF4-FFF2-40B4-BE49-F238E27FC236}">
              <a16:creationId xmlns:a16="http://schemas.microsoft.com/office/drawing/2014/main" id="{EC2CC89F-B20E-46E3-95EE-17E7350D2293}"/>
            </a:ext>
          </a:extLst>
        </xdr:cNvPr>
        <xdr:cNvSpPr txBox="1">
          <a:spLocks noChangeArrowheads="1"/>
        </xdr:cNvSpPr>
      </xdr:nvSpPr>
      <xdr:spPr bwMode="auto">
        <a:xfrm>
          <a:off x="9555480" y="17609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99</xdr:row>
      <xdr:rowOff>0</xdr:rowOff>
    </xdr:from>
    <xdr:ext cx="104775" cy="210011"/>
    <xdr:sp macro="" textlink="">
      <xdr:nvSpPr>
        <xdr:cNvPr id="941" name="Text Box 249">
          <a:extLst>
            <a:ext uri="{FF2B5EF4-FFF2-40B4-BE49-F238E27FC236}">
              <a16:creationId xmlns:a16="http://schemas.microsoft.com/office/drawing/2014/main" id="{855431D9-164C-4D26-92A0-2A38803F7026}"/>
            </a:ext>
          </a:extLst>
        </xdr:cNvPr>
        <xdr:cNvSpPr txBox="1">
          <a:spLocks noChangeArrowheads="1"/>
        </xdr:cNvSpPr>
      </xdr:nvSpPr>
      <xdr:spPr bwMode="auto">
        <a:xfrm>
          <a:off x="9558020" y="176098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99</xdr:row>
      <xdr:rowOff>0</xdr:rowOff>
    </xdr:from>
    <xdr:ext cx="117326" cy="218324"/>
    <xdr:sp macro="" textlink="">
      <xdr:nvSpPr>
        <xdr:cNvPr id="942" name="Text Box 249">
          <a:extLst>
            <a:ext uri="{FF2B5EF4-FFF2-40B4-BE49-F238E27FC236}">
              <a16:creationId xmlns:a16="http://schemas.microsoft.com/office/drawing/2014/main" id="{8C3169C0-D41F-459A-9F2B-3AAE1179DC5C}"/>
            </a:ext>
          </a:extLst>
        </xdr:cNvPr>
        <xdr:cNvSpPr txBox="1">
          <a:spLocks noChangeArrowheads="1"/>
        </xdr:cNvSpPr>
      </xdr:nvSpPr>
      <xdr:spPr bwMode="auto">
        <a:xfrm>
          <a:off x="9558020" y="176098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3" name="Text Box 249">
          <a:extLst>
            <a:ext uri="{FF2B5EF4-FFF2-40B4-BE49-F238E27FC236}">
              <a16:creationId xmlns:a16="http://schemas.microsoft.com/office/drawing/2014/main" id="{7AB68C75-6AC6-4BFA-AB4B-E2FC743C1D39}"/>
            </a:ext>
          </a:extLst>
        </xdr:cNvPr>
        <xdr:cNvSpPr txBox="1">
          <a:spLocks noChangeArrowheads="1"/>
        </xdr:cNvSpPr>
      </xdr:nvSpPr>
      <xdr:spPr bwMode="auto">
        <a:xfrm>
          <a:off x="9555480" y="17609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4" name="Text Box 249">
          <a:extLst>
            <a:ext uri="{FF2B5EF4-FFF2-40B4-BE49-F238E27FC236}">
              <a16:creationId xmlns:a16="http://schemas.microsoft.com/office/drawing/2014/main" id="{560A1965-214D-4CF3-8E73-66521F66BB54}"/>
            </a:ext>
          </a:extLst>
        </xdr:cNvPr>
        <xdr:cNvSpPr txBox="1">
          <a:spLocks noChangeArrowheads="1"/>
        </xdr:cNvSpPr>
      </xdr:nvSpPr>
      <xdr:spPr bwMode="auto">
        <a:xfrm>
          <a:off x="9555480" y="17609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5" name="Text Box 249">
          <a:extLst>
            <a:ext uri="{FF2B5EF4-FFF2-40B4-BE49-F238E27FC236}">
              <a16:creationId xmlns:a16="http://schemas.microsoft.com/office/drawing/2014/main" id="{468C227F-1C83-4419-9902-66F4E57577D8}"/>
            </a:ext>
          </a:extLst>
        </xdr:cNvPr>
        <xdr:cNvSpPr txBox="1">
          <a:spLocks noChangeArrowheads="1"/>
        </xdr:cNvSpPr>
      </xdr:nvSpPr>
      <xdr:spPr bwMode="auto">
        <a:xfrm>
          <a:off x="9555480" y="17609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99</xdr:row>
      <xdr:rowOff>0</xdr:rowOff>
    </xdr:from>
    <xdr:ext cx="104775" cy="208801"/>
    <xdr:sp macro="" textlink="">
      <xdr:nvSpPr>
        <xdr:cNvPr id="946" name="Text Box 249">
          <a:extLst>
            <a:ext uri="{FF2B5EF4-FFF2-40B4-BE49-F238E27FC236}">
              <a16:creationId xmlns:a16="http://schemas.microsoft.com/office/drawing/2014/main" id="{6B94C4BF-E960-4B3B-8FD3-7548B264BBE0}"/>
            </a:ext>
          </a:extLst>
        </xdr:cNvPr>
        <xdr:cNvSpPr txBox="1">
          <a:spLocks noChangeArrowheads="1"/>
        </xdr:cNvSpPr>
      </xdr:nvSpPr>
      <xdr:spPr bwMode="auto">
        <a:xfrm>
          <a:off x="9555480" y="176098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87</xdr:row>
      <xdr:rowOff>0</xdr:rowOff>
    </xdr:from>
    <xdr:ext cx="117326" cy="218324"/>
    <xdr:sp macro="" textlink="">
      <xdr:nvSpPr>
        <xdr:cNvPr id="947" name="Text Box 249">
          <a:extLst>
            <a:ext uri="{FF2B5EF4-FFF2-40B4-BE49-F238E27FC236}">
              <a16:creationId xmlns:a16="http://schemas.microsoft.com/office/drawing/2014/main" id="{3761C574-FEA4-4B86-BD02-E4BAA5E6D7CE}"/>
            </a:ext>
          </a:extLst>
        </xdr:cNvPr>
        <xdr:cNvSpPr txBox="1">
          <a:spLocks noChangeArrowheads="1"/>
        </xdr:cNvSpPr>
      </xdr:nvSpPr>
      <xdr:spPr bwMode="auto">
        <a:xfrm>
          <a:off x="9558020" y="155981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48" name="Text Box 249">
          <a:extLst>
            <a:ext uri="{FF2B5EF4-FFF2-40B4-BE49-F238E27FC236}">
              <a16:creationId xmlns:a16="http://schemas.microsoft.com/office/drawing/2014/main" id="{9F4CB2A5-F9DC-4A8C-BC99-EA84AFDB73DF}"/>
            </a:ext>
          </a:extLst>
        </xdr:cNvPr>
        <xdr:cNvSpPr txBox="1">
          <a:spLocks noChangeArrowheads="1"/>
        </xdr:cNvSpPr>
      </xdr:nvSpPr>
      <xdr:spPr bwMode="auto">
        <a:xfrm>
          <a:off x="9555480" y="15598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49" name="Text Box 249">
          <a:extLst>
            <a:ext uri="{FF2B5EF4-FFF2-40B4-BE49-F238E27FC236}">
              <a16:creationId xmlns:a16="http://schemas.microsoft.com/office/drawing/2014/main" id="{750472BF-2A9C-46C8-940C-F9DE9E95E3A1}"/>
            </a:ext>
          </a:extLst>
        </xdr:cNvPr>
        <xdr:cNvSpPr txBox="1">
          <a:spLocks noChangeArrowheads="1"/>
        </xdr:cNvSpPr>
      </xdr:nvSpPr>
      <xdr:spPr bwMode="auto">
        <a:xfrm>
          <a:off x="9555480" y="15598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0" name="Text Box 249">
          <a:extLst>
            <a:ext uri="{FF2B5EF4-FFF2-40B4-BE49-F238E27FC236}">
              <a16:creationId xmlns:a16="http://schemas.microsoft.com/office/drawing/2014/main" id="{1CF1A810-F613-467E-B6DD-9C6BCBC0DEC9}"/>
            </a:ext>
          </a:extLst>
        </xdr:cNvPr>
        <xdr:cNvSpPr txBox="1">
          <a:spLocks noChangeArrowheads="1"/>
        </xdr:cNvSpPr>
      </xdr:nvSpPr>
      <xdr:spPr bwMode="auto">
        <a:xfrm>
          <a:off x="9555480" y="15598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1" name="Text Box 249">
          <a:extLst>
            <a:ext uri="{FF2B5EF4-FFF2-40B4-BE49-F238E27FC236}">
              <a16:creationId xmlns:a16="http://schemas.microsoft.com/office/drawing/2014/main" id="{D201D288-FAE9-45FA-8CE3-CAD1B5195018}"/>
            </a:ext>
          </a:extLst>
        </xdr:cNvPr>
        <xdr:cNvSpPr txBox="1">
          <a:spLocks noChangeArrowheads="1"/>
        </xdr:cNvSpPr>
      </xdr:nvSpPr>
      <xdr:spPr bwMode="auto">
        <a:xfrm>
          <a:off x="9555480" y="15598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2" name="Text Box 249">
          <a:extLst>
            <a:ext uri="{FF2B5EF4-FFF2-40B4-BE49-F238E27FC236}">
              <a16:creationId xmlns:a16="http://schemas.microsoft.com/office/drawing/2014/main" id="{5A49ED1C-6536-450B-85AA-9879EE89177E}"/>
            </a:ext>
          </a:extLst>
        </xdr:cNvPr>
        <xdr:cNvSpPr txBox="1">
          <a:spLocks noChangeArrowheads="1"/>
        </xdr:cNvSpPr>
      </xdr:nvSpPr>
      <xdr:spPr bwMode="auto">
        <a:xfrm>
          <a:off x="9555480" y="15598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3" name="Text Box 249">
          <a:extLst>
            <a:ext uri="{FF2B5EF4-FFF2-40B4-BE49-F238E27FC236}">
              <a16:creationId xmlns:a16="http://schemas.microsoft.com/office/drawing/2014/main" id="{57622E14-05C4-4FD7-96CE-E3708A9A0E29}"/>
            </a:ext>
          </a:extLst>
        </xdr:cNvPr>
        <xdr:cNvSpPr txBox="1">
          <a:spLocks noChangeArrowheads="1"/>
        </xdr:cNvSpPr>
      </xdr:nvSpPr>
      <xdr:spPr bwMode="auto">
        <a:xfrm>
          <a:off x="9555480" y="15598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87</xdr:row>
      <xdr:rowOff>0</xdr:rowOff>
    </xdr:from>
    <xdr:ext cx="104775" cy="210011"/>
    <xdr:sp macro="" textlink="">
      <xdr:nvSpPr>
        <xdr:cNvPr id="954" name="Text Box 249">
          <a:extLst>
            <a:ext uri="{FF2B5EF4-FFF2-40B4-BE49-F238E27FC236}">
              <a16:creationId xmlns:a16="http://schemas.microsoft.com/office/drawing/2014/main" id="{FCDD7585-34A8-4DC0-8E2D-4D8EA15BDF31}"/>
            </a:ext>
          </a:extLst>
        </xdr:cNvPr>
        <xdr:cNvSpPr txBox="1">
          <a:spLocks noChangeArrowheads="1"/>
        </xdr:cNvSpPr>
      </xdr:nvSpPr>
      <xdr:spPr bwMode="auto">
        <a:xfrm>
          <a:off x="9558020" y="1559814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87</xdr:row>
      <xdr:rowOff>0</xdr:rowOff>
    </xdr:from>
    <xdr:ext cx="117326" cy="218324"/>
    <xdr:sp macro="" textlink="">
      <xdr:nvSpPr>
        <xdr:cNvPr id="955" name="Text Box 249">
          <a:extLst>
            <a:ext uri="{FF2B5EF4-FFF2-40B4-BE49-F238E27FC236}">
              <a16:creationId xmlns:a16="http://schemas.microsoft.com/office/drawing/2014/main" id="{6F785755-5585-435D-BF6A-BF2E301CC3D2}"/>
            </a:ext>
          </a:extLst>
        </xdr:cNvPr>
        <xdr:cNvSpPr txBox="1">
          <a:spLocks noChangeArrowheads="1"/>
        </xdr:cNvSpPr>
      </xdr:nvSpPr>
      <xdr:spPr bwMode="auto">
        <a:xfrm>
          <a:off x="9558020" y="1559814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6" name="Text Box 249">
          <a:extLst>
            <a:ext uri="{FF2B5EF4-FFF2-40B4-BE49-F238E27FC236}">
              <a16:creationId xmlns:a16="http://schemas.microsoft.com/office/drawing/2014/main" id="{D065B96D-9BB5-41C5-A018-4A85F44703A1}"/>
            </a:ext>
          </a:extLst>
        </xdr:cNvPr>
        <xdr:cNvSpPr txBox="1">
          <a:spLocks noChangeArrowheads="1"/>
        </xdr:cNvSpPr>
      </xdr:nvSpPr>
      <xdr:spPr bwMode="auto">
        <a:xfrm>
          <a:off x="9555480" y="15598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7" name="Text Box 249">
          <a:extLst>
            <a:ext uri="{FF2B5EF4-FFF2-40B4-BE49-F238E27FC236}">
              <a16:creationId xmlns:a16="http://schemas.microsoft.com/office/drawing/2014/main" id="{4C17201C-5C85-406A-A2EA-D697C93219C5}"/>
            </a:ext>
          </a:extLst>
        </xdr:cNvPr>
        <xdr:cNvSpPr txBox="1">
          <a:spLocks noChangeArrowheads="1"/>
        </xdr:cNvSpPr>
      </xdr:nvSpPr>
      <xdr:spPr bwMode="auto">
        <a:xfrm>
          <a:off x="9555480" y="15598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8" name="Text Box 249">
          <a:extLst>
            <a:ext uri="{FF2B5EF4-FFF2-40B4-BE49-F238E27FC236}">
              <a16:creationId xmlns:a16="http://schemas.microsoft.com/office/drawing/2014/main" id="{3ACE6A8C-11EA-4501-A23E-9D4F2734AFD1}"/>
            </a:ext>
          </a:extLst>
        </xdr:cNvPr>
        <xdr:cNvSpPr txBox="1">
          <a:spLocks noChangeArrowheads="1"/>
        </xdr:cNvSpPr>
      </xdr:nvSpPr>
      <xdr:spPr bwMode="auto">
        <a:xfrm>
          <a:off x="9555480" y="15598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87</xdr:row>
      <xdr:rowOff>0</xdr:rowOff>
    </xdr:from>
    <xdr:ext cx="104775" cy="208801"/>
    <xdr:sp macro="" textlink="">
      <xdr:nvSpPr>
        <xdr:cNvPr id="959" name="Text Box 249">
          <a:extLst>
            <a:ext uri="{FF2B5EF4-FFF2-40B4-BE49-F238E27FC236}">
              <a16:creationId xmlns:a16="http://schemas.microsoft.com/office/drawing/2014/main" id="{9BCB90A3-1229-4538-A50E-A6B8FF743593}"/>
            </a:ext>
          </a:extLst>
        </xdr:cNvPr>
        <xdr:cNvSpPr txBox="1">
          <a:spLocks noChangeArrowheads="1"/>
        </xdr:cNvSpPr>
      </xdr:nvSpPr>
      <xdr:spPr bwMode="auto">
        <a:xfrm>
          <a:off x="9555480" y="1559814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88</xdr:row>
      <xdr:rowOff>0</xdr:rowOff>
    </xdr:from>
    <xdr:ext cx="117326" cy="218324"/>
    <xdr:sp macro="" textlink="">
      <xdr:nvSpPr>
        <xdr:cNvPr id="960" name="Text Box 249">
          <a:extLst>
            <a:ext uri="{FF2B5EF4-FFF2-40B4-BE49-F238E27FC236}">
              <a16:creationId xmlns:a16="http://schemas.microsoft.com/office/drawing/2014/main" id="{D952A6B9-2CB9-468C-A7F2-148F7A631843}"/>
            </a:ext>
          </a:extLst>
        </xdr:cNvPr>
        <xdr:cNvSpPr txBox="1">
          <a:spLocks noChangeArrowheads="1"/>
        </xdr:cNvSpPr>
      </xdr:nvSpPr>
      <xdr:spPr bwMode="auto">
        <a:xfrm>
          <a:off x="9558020" y="157657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1" name="Text Box 249">
          <a:extLst>
            <a:ext uri="{FF2B5EF4-FFF2-40B4-BE49-F238E27FC236}">
              <a16:creationId xmlns:a16="http://schemas.microsoft.com/office/drawing/2014/main" id="{4D8B8ECE-1AF8-4CEE-A80C-C4E70EDFCAC7}"/>
            </a:ext>
          </a:extLst>
        </xdr:cNvPr>
        <xdr:cNvSpPr txBox="1">
          <a:spLocks noChangeArrowheads="1"/>
        </xdr:cNvSpPr>
      </xdr:nvSpPr>
      <xdr:spPr bwMode="auto">
        <a:xfrm>
          <a:off x="9555480" y="15765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2" name="Text Box 249">
          <a:extLst>
            <a:ext uri="{FF2B5EF4-FFF2-40B4-BE49-F238E27FC236}">
              <a16:creationId xmlns:a16="http://schemas.microsoft.com/office/drawing/2014/main" id="{E5324ACA-B293-4F75-8188-B4961DA4A3FF}"/>
            </a:ext>
          </a:extLst>
        </xdr:cNvPr>
        <xdr:cNvSpPr txBox="1">
          <a:spLocks noChangeArrowheads="1"/>
        </xdr:cNvSpPr>
      </xdr:nvSpPr>
      <xdr:spPr bwMode="auto">
        <a:xfrm>
          <a:off x="9555480" y="15765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3" name="Text Box 249">
          <a:extLst>
            <a:ext uri="{FF2B5EF4-FFF2-40B4-BE49-F238E27FC236}">
              <a16:creationId xmlns:a16="http://schemas.microsoft.com/office/drawing/2014/main" id="{EA1899A4-D351-4FCB-A051-D06290647EC0}"/>
            </a:ext>
          </a:extLst>
        </xdr:cNvPr>
        <xdr:cNvSpPr txBox="1">
          <a:spLocks noChangeArrowheads="1"/>
        </xdr:cNvSpPr>
      </xdr:nvSpPr>
      <xdr:spPr bwMode="auto">
        <a:xfrm>
          <a:off x="9555480" y="15765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4" name="Text Box 249">
          <a:extLst>
            <a:ext uri="{FF2B5EF4-FFF2-40B4-BE49-F238E27FC236}">
              <a16:creationId xmlns:a16="http://schemas.microsoft.com/office/drawing/2014/main" id="{63927358-24AF-4204-84A4-94AD7C9A7772}"/>
            </a:ext>
          </a:extLst>
        </xdr:cNvPr>
        <xdr:cNvSpPr txBox="1">
          <a:spLocks noChangeArrowheads="1"/>
        </xdr:cNvSpPr>
      </xdr:nvSpPr>
      <xdr:spPr bwMode="auto">
        <a:xfrm>
          <a:off x="9555480" y="15765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5" name="Text Box 249">
          <a:extLst>
            <a:ext uri="{FF2B5EF4-FFF2-40B4-BE49-F238E27FC236}">
              <a16:creationId xmlns:a16="http://schemas.microsoft.com/office/drawing/2014/main" id="{2BBCDAEE-CECC-4A26-95FC-98A486450A1C}"/>
            </a:ext>
          </a:extLst>
        </xdr:cNvPr>
        <xdr:cNvSpPr txBox="1">
          <a:spLocks noChangeArrowheads="1"/>
        </xdr:cNvSpPr>
      </xdr:nvSpPr>
      <xdr:spPr bwMode="auto">
        <a:xfrm>
          <a:off x="9555480" y="15765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6" name="Text Box 249">
          <a:extLst>
            <a:ext uri="{FF2B5EF4-FFF2-40B4-BE49-F238E27FC236}">
              <a16:creationId xmlns:a16="http://schemas.microsoft.com/office/drawing/2014/main" id="{315A9AFB-A020-4224-BD22-44B2B7D47A7C}"/>
            </a:ext>
          </a:extLst>
        </xdr:cNvPr>
        <xdr:cNvSpPr txBox="1">
          <a:spLocks noChangeArrowheads="1"/>
        </xdr:cNvSpPr>
      </xdr:nvSpPr>
      <xdr:spPr bwMode="auto">
        <a:xfrm>
          <a:off x="9555480" y="15765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88</xdr:row>
      <xdr:rowOff>0</xdr:rowOff>
    </xdr:from>
    <xdr:ext cx="104775" cy="210011"/>
    <xdr:sp macro="" textlink="">
      <xdr:nvSpPr>
        <xdr:cNvPr id="967" name="Text Box 249">
          <a:extLst>
            <a:ext uri="{FF2B5EF4-FFF2-40B4-BE49-F238E27FC236}">
              <a16:creationId xmlns:a16="http://schemas.microsoft.com/office/drawing/2014/main" id="{75B3E160-C89A-4CED-874E-40C8C60C7432}"/>
            </a:ext>
          </a:extLst>
        </xdr:cNvPr>
        <xdr:cNvSpPr txBox="1">
          <a:spLocks noChangeArrowheads="1"/>
        </xdr:cNvSpPr>
      </xdr:nvSpPr>
      <xdr:spPr bwMode="auto">
        <a:xfrm>
          <a:off x="9558020" y="1576578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88</xdr:row>
      <xdr:rowOff>0</xdr:rowOff>
    </xdr:from>
    <xdr:ext cx="117326" cy="218324"/>
    <xdr:sp macro="" textlink="">
      <xdr:nvSpPr>
        <xdr:cNvPr id="968" name="Text Box 249">
          <a:extLst>
            <a:ext uri="{FF2B5EF4-FFF2-40B4-BE49-F238E27FC236}">
              <a16:creationId xmlns:a16="http://schemas.microsoft.com/office/drawing/2014/main" id="{1B9FB1D6-1EB7-47C9-B65D-CA6C8BC8A7FB}"/>
            </a:ext>
          </a:extLst>
        </xdr:cNvPr>
        <xdr:cNvSpPr txBox="1">
          <a:spLocks noChangeArrowheads="1"/>
        </xdr:cNvSpPr>
      </xdr:nvSpPr>
      <xdr:spPr bwMode="auto">
        <a:xfrm>
          <a:off x="9558020" y="1576578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69" name="Text Box 249">
          <a:extLst>
            <a:ext uri="{FF2B5EF4-FFF2-40B4-BE49-F238E27FC236}">
              <a16:creationId xmlns:a16="http://schemas.microsoft.com/office/drawing/2014/main" id="{3C6708D9-0D7B-44DB-A153-7AAE76CEC466}"/>
            </a:ext>
          </a:extLst>
        </xdr:cNvPr>
        <xdr:cNvSpPr txBox="1">
          <a:spLocks noChangeArrowheads="1"/>
        </xdr:cNvSpPr>
      </xdr:nvSpPr>
      <xdr:spPr bwMode="auto">
        <a:xfrm>
          <a:off x="9555480" y="15765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70" name="Text Box 249">
          <a:extLst>
            <a:ext uri="{FF2B5EF4-FFF2-40B4-BE49-F238E27FC236}">
              <a16:creationId xmlns:a16="http://schemas.microsoft.com/office/drawing/2014/main" id="{B65974A8-EF95-490D-B2DD-5B1F33775B47}"/>
            </a:ext>
          </a:extLst>
        </xdr:cNvPr>
        <xdr:cNvSpPr txBox="1">
          <a:spLocks noChangeArrowheads="1"/>
        </xdr:cNvSpPr>
      </xdr:nvSpPr>
      <xdr:spPr bwMode="auto">
        <a:xfrm>
          <a:off x="9555480" y="15765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71" name="Text Box 249">
          <a:extLst>
            <a:ext uri="{FF2B5EF4-FFF2-40B4-BE49-F238E27FC236}">
              <a16:creationId xmlns:a16="http://schemas.microsoft.com/office/drawing/2014/main" id="{30FC6B4E-B8FA-4748-8DE8-C85F03B21B9D}"/>
            </a:ext>
          </a:extLst>
        </xdr:cNvPr>
        <xdr:cNvSpPr txBox="1">
          <a:spLocks noChangeArrowheads="1"/>
        </xdr:cNvSpPr>
      </xdr:nvSpPr>
      <xdr:spPr bwMode="auto">
        <a:xfrm>
          <a:off x="9555480" y="15765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88</xdr:row>
      <xdr:rowOff>0</xdr:rowOff>
    </xdr:from>
    <xdr:ext cx="104775" cy="208801"/>
    <xdr:sp macro="" textlink="">
      <xdr:nvSpPr>
        <xdr:cNvPr id="972" name="Text Box 249">
          <a:extLst>
            <a:ext uri="{FF2B5EF4-FFF2-40B4-BE49-F238E27FC236}">
              <a16:creationId xmlns:a16="http://schemas.microsoft.com/office/drawing/2014/main" id="{922F7172-7338-42CE-B9D6-AB1391A5B506}"/>
            </a:ext>
          </a:extLst>
        </xdr:cNvPr>
        <xdr:cNvSpPr txBox="1">
          <a:spLocks noChangeArrowheads="1"/>
        </xdr:cNvSpPr>
      </xdr:nvSpPr>
      <xdr:spPr bwMode="auto">
        <a:xfrm>
          <a:off x="9555480" y="1576578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109</xdr:row>
      <xdr:rowOff>0</xdr:rowOff>
    </xdr:from>
    <xdr:ext cx="117326" cy="218324"/>
    <xdr:sp macro="" textlink="">
      <xdr:nvSpPr>
        <xdr:cNvPr id="973" name="Text Box 249">
          <a:extLst>
            <a:ext uri="{FF2B5EF4-FFF2-40B4-BE49-F238E27FC236}">
              <a16:creationId xmlns:a16="http://schemas.microsoft.com/office/drawing/2014/main" id="{4810F488-AD43-4C6B-A6C6-03AA9844606E}"/>
            </a:ext>
          </a:extLst>
        </xdr:cNvPr>
        <xdr:cNvSpPr txBox="1">
          <a:spLocks noChangeArrowheads="1"/>
        </xdr:cNvSpPr>
      </xdr:nvSpPr>
      <xdr:spPr bwMode="auto">
        <a:xfrm>
          <a:off x="9558020" y="192862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974" name="Text Box 249">
          <a:extLst>
            <a:ext uri="{FF2B5EF4-FFF2-40B4-BE49-F238E27FC236}">
              <a16:creationId xmlns:a16="http://schemas.microsoft.com/office/drawing/2014/main" id="{D2346F4A-B7A4-47C5-AF53-362B8D81EF82}"/>
            </a:ext>
          </a:extLst>
        </xdr:cNvPr>
        <xdr:cNvSpPr txBox="1">
          <a:spLocks noChangeArrowheads="1"/>
        </xdr:cNvSpPr>
      </xdr:nvSpPr>
      <xdr:spPr bwMode="auto">
        <a:xfrm>
          <a:off x="9555480" y="19286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975" name="Text Box 249">
          <a:extLst>
            <a:ext uri="{FF2B5EF4-FFF2-40B4-BE49-F238E27FC236}">
              <a16:creationId xmlns:a16="http://schemas.microsoft.com/office/drawing/2014/main" id="{47CA2C38-1A47-422D-889A-CBD0EB0D8441}"/>
            </a:ext>
          </a:extLst>
        </xdr:cNvPr>
        <xdr:cNvSpPr txBox="1">
          <a:spLocks noChangeArrowheads="1"/>
        </xdr:cNvSpPr>
      </xdr:nvSpPr>
      <xdr:spPr bwMode="auto">
        <a:xfrm>
          <a:off x="9555480" y="19286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976" name="Text Box 249">
          <a:extLst>
            <a:ext uri="{FF2B5EF4-FFF2-40B4-BE49-F238E27FC236}">
              <a16:creationId xmlns:a16="http://schemas.microsoft.com/office/drawing/2014/main" id="{F2669EBE-DDF3-4CED-ACC8-FBF4FE63C8C3}"/>
            </a:ext>
          </a:extLst>
        </xdr:cNvPr>
        <xdr:cNvSpPr txBox="1">
          <a:spLocks noChangeArrowheads="1"/>
        </xdr:cNvSpPr>
      </xdr:nvSpPr>
      <xdr:spPr bwMode="auto">
        <a:xfrm>
          <a:off x="9555480" y="19286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977" name="Text Box 249">
          <a:extLst>
            <a:ext uri="{FF2B5EF4-FFF2-40B4-BE49-F238E27FC236}">
              <a16:creationId xmlns:a16="http://schemas.microsoft.com/office/drawing/2014/main" id="{3596DFA0-1D0D-4F0F-BEF0-1DE19FDA79EE}"/>
            </a:ext>
          </a:extLst>
        </xdr:cNvPr>
        <xdr:cNvSpPr txBox="1">
          <a:spLocks noChangeArrowheads="1"/>
        </xdr:cNvSpPr>
      </xdr:nvSpPr>
      <xdr:spPr bwMode="auto">
        <a:xfrm>
          <a:off x="9555480" y="19286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978" name="Text Box 249">
          <a:extLst>
            <a:ext uri="{FF2B5EF4-FFF2-40B4-BE49-F238E27FC236}">
              <a16:creationId xmlns:a16="http://schemas.microsoft.com/office/drawing/2014/main" id="{0B507DA5-D8B3-470B-AD2B-5F03A54D3D50}"/>
            </a:ext>
          </a:extLst>
        </xdr:cNvPr>
        <xdr:cNvSpPr txBox="1">
          <a:spLocks noChangeArrowheads="1"/>
        </xdr:cNvSpPr>
      </xdr:nvSpPr>
      <xdr:spPr bwMode="auto">
        <a:xfrm>
          <a:off x="9555480" y="19286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979" name="Text Box 249">
          <a:extLst>
            <a:ext uri="{FF2B5EF4-FFF2-40B4-BE49-F238E27FC236}">
              <a16:creationId xmlns:a16="http://schemas.microsoft.com/office/drawing/2014/main" id="{2745DC7C-FEBC-4C93-9654-E12C7C23818D}"/>
            </a:ext>
          </a:extLst>
        </xdr:cNvPr>
        <xdr:cNvSpPr txBox="1">
          <a:spLocks noChangeArrowheads="1"/>
        </xdr:cNvSpPr>
      </xdr:nvSpPr>
      <xdr:spPr bwMode="auto">
        <a:xfrm>
          <a:off x="9555480" y="19286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109</xdr:row>
      <xdr:rowOff>0</xdr:rowOff>
    </xdr:from>
    <xdr:ext cx="104775" cy="210011"/>
    <xdr:sp macro="" textlink="">
      <xdr:nvSpPr>
        <xdr:cNvPr id="980" name="Text Box 249">
          <a:extLst>
            <a:ext uri="{FF2B5EF4-FFF2-40B4-BE49-F238E27FC236}">
              <a16:creationId xmlns:a16="http://schemas.microsoft.com/office/drawing/2014/main" id="{488985B5-8131-455A-BBC0-37B8C78C8570}"/>
            </a:ext>
          </a:extLst>
        </xdr:cNvPr>
        <xdr:cNvSpPr txBox="1">
          <a:spLocks noChangeArrowheads="1"/>
        </xdr:cNvSpPr>
      </xdr:nvSpPr>
      <xdr:spPr bwMode="auto">
        <a:xfrm>
          <a:off x="9558020" y="1928622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109</xdr:row>
      <xdr:rowOff>0</xdr:rowOff>
    </xdr:from>
    <xdr:ext cx="117326" cy="218324"/>
    <xdr:sp macro="" textlink="">
      <xdr:nvSpPr>
        <xdr:cNvPr id="981" name="Text Box 249">
          <a:extLst>
            <a:ext uri="{FF2B5EF4-FFF2-40B4-BE49-F238E27FC236}">
              <a16:creationId xmlns:a16="http://schemas.microsoft.com/office/drawing/2014/main" id="{C2C8425D-08F1-4719-9A4E-B3083DCD2C54}"/>
            </a:ext>
          </a:extLst>
        </xdr:cNvPr>
        <xdr:cNvSpPr txBox="1">
          <a:spLocks noChangeArrowheads="1"/>
        </xdr:cNvSpPr>
      </xdr:nvSpPr>
      <xdr:spPr bwMode="auto">
        <a:xfrm>
          <a:off x="9558020" y="1928622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982" name="Text Box 249">
          <a:extLst>
            <a:ext uri="{FF2B5EF4-FFF2-40B4-BE49-F238E27FC236}">
              <a16:creationId xmlns:a16="http://schemas.microsoft.com/office/drawing/2014/main" id="{4C23ACCB-8A6B-40F4-A4D1-BD5D8C8D74CB}"/>
            </a:ext>
          </a:extLst>
        </xdr:cNvPr>
        <xdr:cNvSpPr txBox="1">
          <a:spLocks noChangeArrowheads="1"/>
        </xdr:cNvSpPr>
      </xdr:nvSpPr>
      <xdr:spPr bwMode="auto">
        <a:xfrm>
          <a:off x="9555480" y="19286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983" name="Text Box 249">
          <a:extLst>
            <a:ext uri="{FF2B5EF4-FFF2-40B4-BE49-F238E27FC236}">
              <a16:creationId xmlns:a16="http://schemas.microsoft.com/office/drawing/2014/main" id="{B58A8B78-7C78-4A32-804D-B4FD42714827}"/>
            </a:ext>
          </a:extLst>
        </xdr:cNvPr>
        <xdr:cNvSpPr txBox="1">
          <a:spLocks noChangeArrowheads="1"/>
        </xdr:cNvSpPr>
      </xdr:nvSpPr>
      <xdr:spPr bwMode="auto">
        <a:xfrm>
          <a:off x="9555480" y="19286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984" name="Text Box 249">
          <a:extLst>
            <a:ext uri="{FF2B5EF4-FFF2-40B4-BE49-F238E27FC236}">
              <a16:creationId xmlns:a16="http://schemas.microsoft.com/office/drawing/2014/main" id="{44E5E574-1C33-4B80-970E-319C3C423FE6}"/>
            </a:ext>
          </a:extLst>
        </xdr:cNvPr>
        <xdr:cNvSpPr txBox="1">
          <a:spLocks noChangeArrowheads="1"/>
        </xdr:cNvSpPr>
      </xdr:nvSpPr>
      <xdr:spPr bwMode="auto">
        <a:xfrm>
          <a:off x="9555480" y="19286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109</xdr:row>
      <xdr:rowOff>0</xdr:rowOff>
    </xdr:from>
    <xdr:ext cx="104775" cy="208801"/>
    <xdr:sp macro="" textlink="">
      <xdr:nvSpPr>
        <xdr:cNvPr id="985" name="Text Box 249">
          <a:extLst>
            <a:ext uri="{FF2B5EF4-FFF2-40B4-BE49-F238E27FC236}">
              <a16:creationId xmlns:a16="http://schemas.microsoft.com/office/drawing/2014/main" id="{FE5DBDEB-B897-4B3B-869F-7DC3962CBA4C}"/>
            </a:ext>
          </a:extLst>
        </xdr:cNvPr>
        <xdr:cNvSpPr txBox="1">
          <a:spLocks noChangeArrowheads="1"/>
        </xdr:cNvSpPr>
      </xdr:nvSpPr>
      <xdr:spPr bwMode="auto">
        <a:xfrm>
          <a:off x="9555480" y="1928622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110</xdr:row>
      <xdr:rowOff>0</xdr:rowOff>
    </xdr:from>
    <xdr:ext cx="117326" cy="218324"/>
    <xdr:sp macro="" textlink="">
      <xdr:nvSpPr>
        <xdr:cNvPr id="986" name="Text Box 249">
          <a:extLst>
            <a:ext uri="{FF2B5EF4-FFF2-40B4-BE49-F238E27FC236}">
              <a16:creationId xmlns:a16="http://schemas.microsoft.com/office/drawing/2014/main" id="{F02A7813-CF1A-42D8-8835-1E82CEEB265A}"/>
            </a:ext>
          </a:extLst>
        </xdr:cNvPr>
        <xdr:cNvSpPr txBox="1">
          <a:spLocks noChangeArrowheads="1"/>
        </xdr:cNvSpPr>
      </xdr:nvSpPr>
      <xdr:spPr bwMode="auto">
        <a:xfrm>
          <a:off x="9558020" y="194538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987" name="Text Box 249">
          <a:extLst>
            <a:ext uri="{FF2B5EF4-FFF2-40B4-BE49-F238E27FC236}">
              <a16:creationId xmlns:a16="http://schemas.microsoft.com/office/drawing/2014/main" id="{5105A605-DEA1-4C0A-8435-39FFCEFE852D}"/>
            </a:ext>
          </a:extLst>
        </xdr:cNvPr>
        <xdr:cNvSpPr txBox="1">
          <a:spLocks noChangeArrowheads="1"/>
        </xdr:cNvSpPr>
      </xdr:nvSpPr>
      <xdr:spPr bwMode="auto">
        <a:xfrm>
          <a:off x="9555480" y="19453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988" name="Text Box 249">
          <a:extLst>
            <a:ext uri="{FF2B5EF4-FFF2-40B4-BE49-F238E27FC236}">
              <a16:creationId xmlns:a16="http://schemas.microsoft.com/office/drawing/2014/main" id="{734B2A4F-69C8-4721-85CE-7FF815F73491}"/>
            </a:ext>
          </a:extLst>
        </xdr:cNvPr>
        <xdr:cNvSpPr txBox="1">
          <a:spLocks noChangeArrowheads="1"/>
        </xdr:cNvSpPr>
      </xdr:nvSpPr>
      <xdr:spPr bwMode="auto">
        <a:xfrm>
          <a:off x="9555480" y="19453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989" name="Text Box 249">
          <a:extLst>
            <a:ext uri="{FF2B5EF4-FFF2-40B4-BE49-F238E27FC236}">
              <a16:creationId xmlns:a16="http://schemas.microsoft.com/office/drawing/2014/main" id="{9E20FAA5-720A-4A94-905B-CBE3D3B4967D}"/>
            </a:ext>
          </a:extLst>
        </xdr:cNvPr>
        <xdr:cNvSpPr txBox="1">
          <a:spLocks noChangeArrowheads="1"/>
        </xdr:cNvSpPr>
      </xdr:nvSpPr>
      <xdr:spPr bwMode="auto">
        <a:xfrm>
          <a:off x="9555480" y="19453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990" name="Text Box 249">
          <a:extLst>
            <a:ext uri="{FF2B5EF4-FFF2-40B4-BE49-F238E27FC236}">
              <a16:creationId xmlns:a16="http://schemas.microsoft.com/office/drawing/2014/main" id="{A2BE4161-8740-4063-9ED0-0503967455C4}"/>
            </a:ext>
          </a:extLst>
        </xdr:cNvPr>
        <xdr:cNvSpPr txBox="1">
          <a:spLocks noChangeArrowheads="1"/>
        </xdr:cNvSpPr>
      </xdr:nvSpPr>
      <xdr:spPr bwMode="auto">
        <a:xfrm>
          <a:off x="9555480" y="19453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991" name="Text Box 249">
          <a:extLst>
            <a:ext uri="{FF2B5EF4-FFF2-40B4-BE49-F238E27FC236}">
              <a16:creationId xmlns:a16="http://schemas.microsoft.com/office/drawing/2014/main" id="{A4B99C81-F491-49FA-BDD5-FB04237B315C}"/>
            </a:ext>
          </a:extLst>
        </xdr:cNvPr>
        <xdr:cNvSpPr txBox="1">
          <a:spLocks noChangeArrowheads="1"/>
        </xdr:cNvSpPr>
      </xdr:nvSpPr>
      <xdr:spPr bwMode="auto">
        <a:xfrm>
          <a:off x="9555480" y="19453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992" name="Text Box 249">
          <a:extLst>
            <a:ext uri="{FF2B5EF4-FFF2-40B4-BE49-F238E27FC236}">
              <a16:creationId xmlns:a16="http://schemas.microsoft.com/office/drawing/2014/main" id="{5F29B34B-D926-4B6A-A668-2D62008256B1}"/>
            </a:ext>
          </a:extLst>
        </xdr:cNvPr>
        <xdr:cNvSpPr txBox="1">
          <a:spLocks noChangeArrowheads="1"/>
        </xdr:cNvSpPr>
      </xdr:nvSpPr>
      <xdr:spPr bwMode="auto">
        <a:xfrm>
          <a:off x="9555480" y="19453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110</xdr:row>
      <xdr:rowOff>0</xdr:rowOff>
    </xdr:from>
    <xdr:ext cx="104775" cy="210011"/>
    <xdr:sp macro="" textlink="">
      <xdr:nvSpPr>
        <xdr:cNvPr id="993" name="Text Box 249">
          <a:extLst>
            <a:ext uri="{FF2B5EF4-FFF2-40B4-BE49-F238E27FC236}">
              <a16:creationId xmlns:a16="http://schemas.microsoft.com/office/drawing/2014/main" id="{DD0A7799-B153-444C-B94A-DB9FD6BDC092}"/>
            </a:ext>
          </a:extLst>
        </xdr:cNvPr>
        <xdr:cNvSpPr txBox="1">
          <a:spLocks noChangeArrowheads="1"/>
        </xdr:cNvSpPr>
      </xdr:nvSpPr>
      <xdr:spPr bwMode="auto">
        <a:xfrm>
          <a:off x="9558020" y="194538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110</xdr:row>
      <xdr:rowOff>0</xdr:rowOff>
    </xdr:from>
    <xdr:ext cx="117326" cy="218324"/>
    <xdr:sp macro="" textlink="">
      <xdr:nvSpPr>
        <xdr:cNvPr id="994" name="Text Box 249">
          <a:extLst>
            <a:ext uri="{FF2B5EF4-FFF2-40B4-BE49-F238E27FC236}">
              <a16:creationId xmlns:a16="http://schemas.microsoft.com/office/drawing/2014/main" id="{F05AA0BA-B6B3-4906-B814-34FBC8FA0940}"/>
            </a:ext>
          </a:extLst>
        </xdr:cNvPr>
        <xdr:cNvSpPr txBox="1">
          <a:spLocks noChangeArrowheads="1"/>
        </xdr:cNvSpPr>
      </xdr:nvSpPr>
      <xdr:spPr bwMode="auto">
        <a:xfrm>
          <a:off x="9558020" y="194538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995" name="Text Box 249">
          <a:extLst>
            <a:ext uri="{FF2B5EF4-FFF2-40B4-BE49-F238E27FC236}">
              <a16:creationId xmlns:a16="http://schemas.microsoft.com/office/drawing/2014/main" id="{8CF03C48-CA3D-4C92-B9CF-D4CDC4641322}"/>
            </a:ext>
          </a:extLst>
        </xdr:cNvPr>
        <xdr:cNvSpPr txBox="1">
          <a:spLocks noChangeArrowheads="1"/>
        </xdr:cNvSpPr>
      </xdr:nvSpPr>
      <xdr:spPr bwMode="auto">
        <a:xfrm>
          <a:off x="9555480" y="19453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996" name="Text Box 249">
          <a:extLst>
            <a:ext uri="{FF2B5EF4-FFF2-40B4-BE49-F238E27FC236}">
              <a16:creationId xmlns:a16="http://schemas.microsoft.com/office/drawing/2014/main" id="{9DD68C6D-4ABB-49D6-A1DE-603B4ED168FB}"/>
            </a:ext>
          </a:extLst>
        </xdr:cNvPr>
        <xdr:cNvSpPr txBox="1">
          <a:spLocks noChangeArrowheads="1"/>
        </xdr:cNvSpPr>
      </xdr:nvSpPr>
      <xdr:spPr bwMode="auto">
        <a:xfrm>
          <a:off x="9555480" y="19453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997" name="Text Box 249">
          <a:extLst>
            <a:ext uri="{FF2B5EF4-FFF2-40B4-BE49-F238E27FC236}">
              <a16:creationId xmlns:a16="http://schemas.microsoft.com/office/drawing/2014/main" id="{E856AE90-69A2-40C6-9458-F904874C6CA9}"/>
            </a:ext>
          </a:extLst>
        </xdr:cNvPr>
        <xdr:cNvSpPr txBox="1">
          <a:spLocks noChangeArrowheads="1"/>
        </xdr:cNvSpPr>
      </xdr:nvSpPr>
      <xdr:spPr bwMode="auto">
        <a:xfrm>
          <a:off x="9555480" y="19453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110</xdr:row>
      <xdr:rowOff>0</xdr:rowOff>
    </xdr:from>
    <xdr:ext cx="104775" cy="208801"/>
    <xdr:sp macro="" textlink="">
      <xdr:nvSpPr>
        <xdr:cNvPr id="998" name="Text Box 249">
          <a:extLst>
            <a:ext uri="{FF2B5EF4-FFF2-40B4-BE49-F238E27FC236}">
              <a16:creationId xmlns:a16="http://schemas.microsoft.com/office/drawing/2014/main" id="{5B92854D-ED87-496A-8647-85DE68747297}"/>
            </a:ext>
          </a:extLst>
        </xdr:cNvPr>
        <xdr:cNvSpPr txBox="1">
          <a:spLocks noChangeArrowheads="1"/>
        </xdr:cNvSpPr>
      </xdr:nvSpPr>
      <xdr:spPr bwMode="auto">
        <a:xfrm>
          <a:off x="9555480" y="194538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999" name="Text Box 249">
          <a:extLst>
            <a:ext uri="{FF2B5EF4-FFF2-40B4-BE49-F238E27FC236}">
              <a16:creationId xmlns:a16="http://schemas.microsoft.com/office/drawing/2014/main" id="{695B2B30-BB6A-4014-95CE-6640D0511D7E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00" name="Text Box 249">
          <a:extLst>
            <a:ext uri="{FF2B5EF4-FFF2-40B4-BE49-F238E27FC236}">
              <a16:creationId xmlns:a16="http://schemas.microsoft.com/office/drawing/2014/main" id="{CB62F27D-524C-4F21-8AF8-55CC1D65E6A5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01" name="Text Box 249">
          <a:extLst>
            <a:ext uri="{FF2B5EF4-FFF2-40B4-BE49-F238E27FC236}">
              <a16:creationId xmlns:a16="http://schemas.microsoft.com/office/drawing/2014/main" id="{6175F911-D64B-4AB8-8460-FCFD7F305AF7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02" name="Text Box 249">
          <a:extLst>
            <a:ext uri="{FF2B5EF4-FFF2-40B4-BE49-F238E27FC236}">
              <a16:creationId xmlns:a16="http://schemas.microsoft.com/office/drawing/2014/main" id="{2EB1204D-2398-450F-944B-3F491FC49FF1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03" name="Text Box 249">
          <a:extLst>
            <a:ext uri="{FF2B5EF4-FFF2-40B4-BE49-F238E27FC236}">
              <a16:creationId xmlns:a16="http://schemas.microsoft.com/office/drawing/2014/main" id="{B0F0B245-438D-490A-8BFA-18B929F4AFD1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04" name="Text Box 249">
          <a:extLst>
            <a:ext uri="{FF2B5EF4-FFF2-40B4-BE49-F238E27FC236}">
              <a16:creationId xmlns:a16="http://schemas.microsoft.com/office/drawing/2014/main" id="{89910F37-7DCB-4274-A537-ABF6FD5E9AF7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05" name="Text Box 249">
          <a:extLst>
            <a:ext uri="{FF2B5EF4-FFF2-40B4-BE49-F238E27FC236}">
              <a16:creationId xmlns:a16="http://schemas.microsoft.com/office/drawing/2014/main" id="{813516BE-2F58-4F79-ACE3-59612F4F1815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06" name="Text Box 249">
          <a:extLst>
            <a:ext uri="{FF2B5EF4-FFF2-40B4-BE49-F238E27FC236}">
              <a16:creationId xmlns:a16="http://schemas.microsoft.com/office/drawing/2014/main" id="{261977E4-A04D-42AE-AE6F-C96B40895E06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07" name="Text Box 249">
          <a:extLst>
            <a:ext uri="{FF2B5EF4-FFF2-40B4-BE49-F238E27FC236}">
              <a16:creationId xmlns:a16="http://schemas.microsoft.com/office/drawing/2014/main" id="{2CB00E82-5716-4697-B0FF-61FA0CDF5F69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08" name="Text Box 249">
          <a:extLst>
            <a:ext uri="{FF2B5EF4-FFF2-40B4-BE49-F238E27FC236}">
              <a16:creationId xmlns:a16="http://schemas.microsoft.com/office/drawing/2014/main" id="{E600F04E-0F56-4146-ABA8-F284C68ED82F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09" name="Text Box 249">
          <a:extLst>
            <a:ext uri="{FF2B5EF4-FFF2-40B4-BE49-F238E27FC236}">
              <a16:creationId xmlns:a16="http://schemas.microsoft.com/office/drawing/2014/main" id="{38879073-0E8A-446E-B72E-8B78D240F442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10" name="Text Box 249">
          <a:extLst>
            <a:ext uri="{FF2B5EF4-FFF2-40B4-BE49-F238E27FC236}">
              <a16:creationId xmlns:a16="http://schemas.microsoft.com/office/drawing/2014/main" id="{0B65D617-7FD7-4C38-A0A3-F5E38BB7EEA0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11" name="Text Box 249">
          <a:extLst>
            <a:ext uri="{FF2B5EF4-FFF2-40B4-BE49-F238E27FC236}">
              <a16:creationId xmlns:a16="http://schemas.microsoft.com/office/drawing/2014/main" id="{C63CBD9B-5E63-44E8-A5BB-B6605393FEAA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12" name="Text Box 249">
          <a:extLst>
            <a:ext uri="{FF2B5EF4-FFF2-40B4-BE49-F238E27FC236}">
              <a16:creationId xmlns:a16="http://schemas.microsoft.com/office/drawing/2014/main" id="{AA64005B-5BAA-40D0-86C6-CA5B8AE0703A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13" name="Text Box 249">
          <a:extLst>
            <a:ext uri="{FF2B5EF4-FFF2-40B4-BE49-F238E27FC236}">
              <a16:creationId xmlns:a16="http://schemas.microsoft.com/office/drawing/2014/main" id="{07920C80-25F7-423F-8F87-EF453E6EA4E2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14" name="Text Box 249">
          <a:extLst>
            <a:ext uri="{FF2B5EF4-FFF2-40B4-BE49-F238E27FC236}">
              <a16:creationId xmlns:a16="http://schemas.microsoft.com/office/drawing/2014/main" id="{DD69F0DF-99F1-4978-B7CD-78A3B4BBE1B1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15" name="Text Box 249">
          <a:extLst>
            <a:ext uri="{FF2B5EF4-FFF2-40B4-BE49-F238E27FC236}">
              <a16:creationId xmlns:a16="http://schemas.microsoft.com/office/drawing/2014/main" id="{B9E33510-5E23-4952-A2B3-A8FA5DC373B2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16" name="Text Box 249">
          <a:extLst>
            <a:ext uri="{FF2B5EF4-FFF2-40B4-BE49-F238E27FC236}">
              <a16:creationId xmlns:a16="http://schemas.microsoft.com/office/drawing/2014/main" id="{5DAC58A6-519F-4306-AC8C-A4CB66AEEC02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17" name="Text Box 249">
          <a:extLst>
            <a:ext uri="{FF2B5EF4-FFF2-40B4-BE49-F238E27FC236}">
              <a16:creationId xmlns:a16="http://schemas.microsoft.com/office/drawing/2014/main" id="{E1CDF12E-0DE6-4EF4-8127-C6F992C94D1B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18" name="Text Box 249">
          <a:extLst>
            <a:ext uri="{FF2B5EF4-FFF2-40B4-BE49-F238E27FC236}">
              <a16:creationId xmlns:a16="http://schemas.microsoft.com/office/drawing/2014/main" id="{395F6CA3-357F-4729-AC2D-E80DDF459FD4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19" name="Text Box 249">
          <a:extLst>
            <a:ext uri="{FF2B5EF4-FFF2-40B4-BE49-F238E27FC236}">
              <a16:creationId xmlns:a16="http://schemas.microsoft.com/office/drawing/2014/main" id="{1FC2F654-F625-489D-BB8A-EAE220FC3050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20" name="Text Box 249">
          <a:extLst>
            <a:ext uri="{FF2B5EF4-FFF2-40B4-BE49-F238E27FC236}">
              <a16:creationId xmlns:a16="http://schemas.microsoft.com/office/drawing/2014/main" id="{C8CCFA5B-075C-4D4D-80D2-C867566B9A66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21" name="Text Box 249">
          <a:extLst>
            <a:ext uri="{FF2B5EF4-FFF2-40B4-BE49-F238E27FC236}">
              <a16:creationId xmlns:a16="http://schemas.microsoft.com/office/drawing/2014/main" id="{34B640C5-07D6-414C-A3A0-B1691DFB7765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22" name="Text Box 249">
          <a:extLst>
            <a:ext uri="{FF2B5EF4-FFF2-40B4-BE49-F238E27FC236}">
              <a16:creationId xmlns:a16="http://schemas.microsoft.com/office/drawing/2014/main" id="{B441C5C6-95FA-462C-8A12-5BD9D6305023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23" name="Text Box 249">
          <a:extLst>
            <a:ext uri="{FF2B5EF4-FFF2-40B4-BE49-F238E27FC236}">
              <a16:creationId xmlns:a16="http://schemas.microsoft.com/office/drawing/2014/main" id="{C6247AC8-CBED-4B4A-912B-2019E315E738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24" name="Text Box 249">
          <a:extLst>
            <a:ext uri="{FF2B5EF4-FFF2-40B4-BE49-F238E27FC236}">
              <a16:creationId xmlns:a16="http://schemas.microsoft.com/office/drawing/2014/main" id="{9880A191-3558-4ECA-A169-D3F781D09A5D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25" name="Text Box 249">
          <a:extLst>
            <a:ext uri="{FF2B5EF4-FFF2-40B4-BE49-F238E27FC236}">
              <a16:creationId xmlns:a16="http://schemas.microsoft.com/office/drawing/2014/main" id="{CE31D5B8-D1B7-4B70-A958-E06739A19366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26" name="Text Box 249">
          <a:extLst>
            <a:ext uri="{FF2B5EF4-FFF2-40B4-BE49-F238E27FC236}">
              <a16:creationId xmlns:a16="http://schemas.microsoft.com/office/drawing/2014/main" id="{532B0902-B1E3-466F-831F-6FABECFC62DD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27" name="Text Box 249">
          <a:extLst>
            <a:ext uri="{FF2B5EF4-FFF2-40B4-BE49-F238E27FC236}">
              <a16:creationId xmlns:a16="http://schemas.microsoft.com/office/drawing/2014/main" id="{7AEBAA6F-0041-45A8-92DF-CD4CEA6E61F5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28" name="Text Box 249">
          <a:extLst>
            <a:ext uri="{FF2B5EF4-FFF2-40B4-BE49-F238E27FC236}">
              <a16:creationId xmlns:a16="http://schemas.microsoft.com/office/drawing/2014/main" id="{6EB77B7D-EF6B-41DD-B74F-95B20E4D4458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29" name="Text Box 249">
          <a:extLst>
            <a:ext uri="{FF2B5EF4-FFF2-40B4-BE49-F238E27FC236}">
              <a16:creationId xmlns:a16="http://schemas.microsoft.com/office/drawing/2014/main" id="{7652AAB5-C2FC-4BAF-96C8-5DB8E2D83D44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30" name="Text Box 249">
          <a:extLst>
            <a:ext uri="{FF2B5EF4-FFF2-40B4-BE49-F238E27FC236}">
              <a16:creationId xmlns:a16="http://schemas.microsoft.com/office/drawing/2014/main" id="{A2CEBB2B-D483-448E-9ABC-DB27EBA2AA7B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31" name="Text Box 249">
          <a:extLst>
            <a:ext uri="{FF2B5EF4-FFF2-40B4-BE49-F238E27FC236}">
              <a16:creationId xmlns:a16="http://schemas.microsoft.com/office/drawing/2014/main" id="{B086B844-CEBE-40DC-838F-0014273ECEC4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32" name="Text Box 249">
          <a:extLst>
            <a:ext uri="{FF2B5EF4-FFF2-40B4-BE49-F238E27FC236}">
              <a16:creationId xmlns:a16="http://schemas.microsoft.com/office/drawing/2014/main" id="{52451EE4-F4AC-41B6-9CBE-E144D384714B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33" name="Text Box 249">
          <a:extLst>
            <a:ext uri="{FF2B5EF4-FFF2-40B4-BE49-F238E27FC236}">
              <a16:creationId xmlns:a16="http://schemas.microsoft.com/office/drawing/2014/main" id="{30A651D9-DA35-4A35-8051-3DC0AC34A41D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34" name="Text Box 249">
          <a:extLst>
            <a:ext uri="{FF2B5EF4-FFF2-40B4-BE49-F238E27FC236}">
              <a16:creationId xmlns:a16="http://schemas.microsoft.com/office/drawing/2014/main" id="{D8548E64-F2AE-4B1B-9258-1A230D244083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35" name="Text Box 249">
          <a:extLst>
            <a:ext uri="{FF2B5EF4-FFF2-40B4-BE49-F238E27FC236}">
              <a16:creationId xmlns:a16="http://schemas.microsoft.com/office/drawing/2014/main" id="{542D0977-A87A-4C42-8FC2-5C50E6BEBB82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36" name="Text Box 249">
          <a:extLst>
            <a:ext uri="{FF2B5EF4-FFF2-40B4-BE49-F238E27FC236}">
              <a16:creationId xmlns:a16="http://schemas.microsoft.com/office/drawing/2014/main" id="{A287ABD2-A77D-43B6-B804-E36123EF19C2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37" name="Text Box 249">
          <a:extLst>
            <a:ext uri="{FF2B5EF4-FFF2-40B4-BE49-F238E27FC236}">
              <a16:creationId xmlns:a16="http://schemas.microsoft.com/office/drawing/2014/main" id="{C493C90B-5E68-416E-AB88-6DBC21965DF2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38" name="Text Box 249">
          <a:extLst>
            <a:ext uri="{FF2B5EF4-FFF2-40B4-BE49-F238E27FC236}">
              <a16:creationId xmlns:a16="http://schemas.microsoft.com/office/drawing/2014/main" id="{9E44B31A-6E63-4998-AA35-E1AF00CD82C2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39" name="Text Box 249">
          <a:extLst>
            <a:ext uri="{FF2B5EF4-FFF2-40B4-BE49-F238E27FC236}">
              <a16:creationId xmlns:a16="http://schemas.microsoft.com/office/drawing/2014/main" id="{9B8AE1F0-025B-4ADB-89A1-699601FD4FD5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40" name="Text Box 249">
          <a:extLst>
            <a:ext uri="{FF2B5EF4-FFF2-40B4-BE49-F238E27FC236}">
              <a16:creationId xmlns:a16="http://schemas.microsoft.com/office/drawing/2014/main" id="{66C81B39-6BD7-40FD-ADA8-467891CCF5A8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41" name="Text Box 249">
          <a:extLst>
            <a:ext uri="{FF2B5EF4-FFF2-40B4-BE49-F238E27FC236}">
              <a16:creationId xmlns:a16="http://schemas.microsoft.com/office/drawing/2014/main" id="{6706E0AE-7275-4A0E-9B6F-74F620271C4D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42" name="Text Box 249">
          <a:extLst>
            <a:ext uri="{FF2B5EF4-FFF2-40B4-BE49-F238E27FC236}">
              <a16:creationId xmlns:a16="http://schemas.microsoft.com/office/drawing/2014/main" id="{50C0E2BD-C264-4A2E-B73D-24C147C44CBF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43" name="Text Box 249">
          <a:extLst>
            <a:ext uri="{FF2B5EF4-FFF2-40B4-BE49-F238E27FC236}">
              <a16:creationId xmlns:a16="http://schemas.microsoft.com/office/drawing/2014/main" id="{184F9F47-AC29-4FE9-B74A-51D1034864A5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44" name="Text Box 249">
          <a:extLst>
            <a:ext uri="{FF2B5EF4-FFF2-40B4-BE49-F238E27FC236}">
              <a16:creationId xmlns:a16="http://schemas.microsoft.com/office/drawing/2014/main" id="{C34CC0B3-CB20-4B14-B930-8DE1F06342F7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45" name="Text Box 249">
          <a:extLst>
            <a:ext uri="{FF2B5EF4-FFF2-40B4-BE49-F238E27FC236}">
              <a16:creationId xmlns:a16="http://schemas.microsoft.com/office/drawing/2014/main" id="{354C1EB2-BE5C-4493-B848-6CC73E79CA58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46" name="Text Box 249">
          <a:extLst>
            <a:ext uri="{FF2B5EF4-FFF2-40B4-BE49-F238E27FC236}">
              <a16:creationId xmlns:a16="http://schemas.microsoft.com/office/drawing/2014/main" id="{6986A3A7-39A6-4782-8CB9-A5DF9165295C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47" name="Text Box 249">
          <a:extLst>
            <a:ext uri="{FF2B5EF4-FFF2-40B4-BE49-F238E27FC236}">
              <a16:creationId xmlns:a16="http://schemas.microsoft.com/office/drawing/2014/main" id="{E63ACDC6-8B43-4B35-A4F6-B0990AE692BC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48" name="Text Box 249">
          <a:extLst>
            <a:ext uri="{FF2B5EF4-FFF2-40B4-BE49-F238E27FC236}">
              <a16:creationId xmlns:a16="http://schemas.microsoft.com/office/drawing/2014/main" id="{63F803D3-D16B-4E4C-9499-69A452F2296D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49" name="Text Box 249">
          <a:extLst>
            <a:ext uri="{FF2B5EF4-FFF2-40B4-BE49-F238E27FC236}">
              <a16:creationId xmlns:a16="http://schemas.microsoft.com/office/drawing/2014/main" id="{55FBEAB6-1F10-4A94-A2C6-B1BF24235DA9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0" name="Text Box 249">
          <a:extLst>
            <a:ext uri="{FF2B5EF4-FFF2-40B4-BE49-F238E27FC236}">
              <a16:creationId xmlns:a16="http://schemas.microsoft.com/office/drawing/2014/main" id="{49A82A90-AA2B-4808-B30B-D705246F50AF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1" name="Text Box 249">
          <a:extLst>
            <a:ext uri="{FF2B5EF4-FFF2-40B4-BE49-F238E27FC236}">
              <a16:creationId xmlns:a16="http://schemas.microsoft.com/office/drawing/2014/main" id="{C9F953C8-C831-491A-A743-7EFA36C05834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2" name="Text Box 249">
          <a:extLst>
            <a:ext uri="{FF2B5EF4-FFF2-40B4-BE49-F238E27FC236}">
              <a16:creationId xmlns:a16="http://schemas.microsoft.com/office/drawing/2014/main" id="{4DC3533E-292C-4CBE-8627-E953B9879FF9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53" name="Text Box 249">
          <a:extLst>
            <a:ext uri="{FF2B5EF4-FFF2-40B4-BE49-F238E27FC236}">
              <a16:creationId xmlns:a16="http://schemas.microsoft.com/office/drawing/2014/main" id="{AEDC6B93-0C3B-487A-A2E8-798B3379FD64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17326" cy="218324"/>
    <xdr:sp macro="" textlink="">
      <xdr:nvSpPr>
        <xdr:cNvPr id="1054" name="Text Box 249">
          <a:extLst>
            <a:ext uri="{FF2B5EF4-FFF2-40B4-BE49-F238E27FC236}">
              <a16:creationId xmlns:a16="http://schemas.microsoft.com/office/drawing/2014/main" id="{1A6A1634-2460-4D0C-844B-F930E79A5FF6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5" name="Text Box 249">
          <a:extLst>
            <a:ext uri="{FF2B5EF4-FFF2-40B4-BE49-F238E27FC236}">
              <a16:creationId xmlns:a16="http://schemas.microsoft.com/office/drawing/2014/main" id="{F9033F7C-E81C-43AC-9732-6E6797AB0E95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6" name="Text Box 249">
          <a:extLst>
            <a:ext uri="{FF2B5EF4-FFF2-40B4-BE49-F238E27FC236}">
              <a16:creationId xmlns:a16="http://schemas.microsoft.com/office/drawing/2014/main" id="{C789B402-8724-437D-9B94-F9E564FC597B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7" name="Text Box 249">
          <a:extLst>
            <a:ext uri="{FF2B5EF4-FFF2-40B4-BE49-F238E27FC236}">
              <a16:creationId xmlns:a16="http://schemas.microsoft.com/office/drawing/2014/main" id="{F5CEAFBE-72F9-4773-A059-2FEA21D413C2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8" name="Text Box 249">
          <a:extLst>
            <a:ext uri="{FF2B5EF4-FFF2-40B4-BE49-F238E27FC236}">
              <a16:creationId xmlns:a16="http://schemas.microsoft.com/office/drawing/2014/main" id="{A91ED903-6DBB-44B9-88A2-A6ED6FD8746C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59" name="Text Box 249">
          <a:extLst>
            <a:ext uri="{FF2B5EF4-FFF2-40B4-BE49-F238E27FC236}">
              <a16:creationId xmlns:a16="http://schemas.microsoft.com/office/drawing/2014/main" id="{251F99C1-9966-44C4-9BEA-2587E3721E8B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601</xdr:row>
      <xdr:rowOff>0</xdr:rowOff>
    </xdr:from>
    <xdr:ext cx="104775" cy="208801"/>
    <xdr:sp macro="" textlink="">
      <xdr:nvSpPr>
        <xdr:cNvPr id="1060" name="Text Box 249">
          <a:extLst>
            <a:ext uri="{FF2B5EF4-FFF2-40B4-BE49-F238E27FC236}">
              <a16:creationId xmlns:a16="http://schemas.microsoft.com/office/drawing/2014/main" id="{09B655E5-8099-4E6B-88EA-1E912F3DF3BF}"/>
            </a:ext>
          </a:extLst>
        </xdr:cNvPr>
        <xdr:cNvSpPr txBox="1">
          <a:spLocks noChangeArrowheads="1"/>
        </xdr:cNvSpPr>
      </xdr:nvSpPr>
      <xdr:spPr bwMode="auto">
        <a:xfrm>
          <a:off x="9555480" y="102283260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601</xdr:row>
      <xdr:rowOff>0</xdr:rowOff>
    </xdr:from>
    <xdr:ext cx="104775" cy="210011"/>
    <xdr:sp macro="" textlink="">
      <xdr:nvSpPr>
        <xdr:cNvPr id="1061" name="Text Box 249">
          <a:extLst>
            <a:ext uri="{FF2B5EF4-FFF2-40B4-BE49-F238E27FC236}">
              <a16:creationId xmlns:a16="http://schemas.microsoft.com/office/drawing/2014/main" id="{32CE9810-E654-4F31-A90A-96BC646A4EDA}"/>
            </a:ext>
          </a:extLst>
        </xdr:cNvPr>
        <xdr:cNvSpPr txBox="1">
          <a:spLocks noChangeArrowheads="1"/>
        </xdr:cNvSpPr>
      </xdr:nvSpPr>
      <xdr:spPr bwMode="auto">
        <a:xfrm>
          <a:off x="9558020" y="102283260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1062" name="Text Box 249">
          <a:extLst>
            <a:ext uri="{FF2B5EF4-FFF2-40B4-BE49-F238E27FC236}">
              <a16:creationId xmlns:a16="http://schemas.microsoft.com/office/drawing/2014/main" id="{04D62447-DD51-4D62-911A-7FC0FDF837F5}"/>
            </a:ext>
          </a:extLst>
        </xdr:cNvPr>
        <xdr:cNvSpPr txBox="1">
          <a:spLocks noChangeArrowheads="1"/>
        </xdr:cNvSpPr>
      </xdr:nvSpPr>
      <xdr:spPr bwMode="auto">
        <a:xfrm>
          <a:off x="9552641" y="848957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63" name="Text Box 249">
          <a:extLst>
            <a:ext uri="{FF2B5EF4-FFF2-40B4-BE49-F238E27FC236}">
              <a16:creationId xmlns:a16="http://schemas.microsoft.com/office/drawing/2014/main" id="{5D691D51-E4BE-4623-8ABB-D1EA32792245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64" name="Text Box 249">
          <a:extLst>
            <a:ext uri="{FF2B5EF4-FFF2-40B4-BE49-F238E27FC236}">
              <a16:creationId xmlns:a16="http://schemas.microsoft.com/office/drawing/2014/main" id="{76911F3A-8EB7-43F0-B271-F21EA30A6EE9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65" name="Text Box 249">
          <a:extLst>
            <a:ext uri="{FF2B5EF4-FFF2-40B4-BE49-F238E27FC236}">
              <a16:creationId xmlns:a16="http://schemas.microsoft.com/office/drawing/2014/main" id="{4C54C234-E801-43A1-8352-4CD7EC292974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66" name="Text Box 249">
          <a:extLst>
            <a:ext uri="{FF2B5EF4-FFF2-40B4-BE49-F238E27FC236}">
              <a16:creationId xmlns:a16="http://schemas.microsoft.com/office/drawing/2014/main" id="{F05CDD10-5FF0-4862-9461-36E5AC0AF335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67" name="Text Box 249">
          <a:extLst>
            <a:ext uri="{FF2B5EF4-FFF2-40B4-BE49-F238E27FC236}">
              <a16:creationId xmlns:a16="http://schemas.microsoft.com/office/drawing/2014/main" id="{54FA217E-DE40-49F9-B1CC-A4C65F802803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68" name="Text Box 249">
          <a:extLst>
            <a:ext uri="{FF2B5EF4-FFF2-40B4-BE49-F238E27FC236}">
              <a16:creationId xmlns:a16="http://schemas.microsoft.com/office/drawing/2014/main" id="{1392935B-650B-47D7-8FF9-9C9022175609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1069" name="Text Box 249">
          <a:extLst>
            <a:ext uri="{FF2B5EF4-FFF2-40B4-BE49-F238E27FC236}">
              <a16:creationId xmlns:a16="http://schemas.microsoft.com/office/drawing/2014/main" id="{AEF7E799-247E-49FD-8CD6-0A501781F8EE}"/>
            </a:ext>
          </a:extLst>
        </xdr:cNvPr>
        <xdr:cNvSpPr txBox="1">
          <a:spLocks noChangeArrowheads="1"/>
        </xdr:cNvSpPr>
      </xdr:nvSpPr>
      <xdr:spPr bwMode="auto">
        <a:xfrm>
          <a:off x="9552641" y="848957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17326" cy="218324"/>
    <xdr:sp macro="" textlink="">
      <xdr:nvSpPr>
        <xdr:cNvPr id="1070" name="Text Box 249">
          <a:extLst>
            <a:ext uri="{FF2B5EF4-FFF2-40B4-BE49-F238E27FC236}">
              <a16:creationId xmlns:a16="http://schemas.microsoft.com/office/drawing/2014/main" id="{65799295-9EFB-4F95-A0D7-E7F9D29ED6EF}"/>
            </a:ext>
          </a:extLst>
        </xdr:cNvPr>
        <xdr:cNvSpPr txBox="1">
          <a:spLocks noChangeArrowheads="1"/>
        </xdr:cNvSpPr>
      </xdr:nvSpPr>
      <xdr:spPr bwMode="auto">
        <a:xfrm>
          <a:off x="9552641" y="848957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71" name="Text Box 249">
          <a:extLst>
            <a:ext uri="{FF2B5EF4-FFF2-40B4-BE49-F238E27FC236}">
              <a16:creationId xmlns:a16="http://schemas.microsoft.com/office/drawing/2014/main" id="{18454FC8-B407-48A1-912D-190BB462716C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72" name="Text Box 249">
          <a:extLst>
            <a:ext uri="{FF2B5EF4-FFF2-40B4-BE49-F238E27FC236}">
              <a16:creationId xmlns:a16="http://schemas.microsoft.com/office/drawing/2014/main" id="{72D6C315-CA35-4D4A-81E0-AFDB03AB4B65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73" name="Text Box 249">
          <a:extLst>
            <a:ext uri="{FF2B5EF4-FFF2-40B4-BE49-F238E27FC236}">
              <a16:creationId xmlns:a16="http://schemas.microsoft.com/office/drawing/2014/main" id="{F39A3C1A-9990-4C9C-B2ED-18F42D81378B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74" name="Text Box 249">
          <a:extLst>
            <a:ext uri="{FF2B5EF4-FFF2-40B4-BE49-F238E27FC236}">
              <a16:creationId xmlns:a16="http://schemas.microsoft.com/office/drawing/2014/main" id="{CBADF0EE-C8CD-48F5-A43A-8CF8B58DA3ED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75" name="Text Box 249">
          <a:extLst>
            <a:ext uri="{FF2B5EF4-FFF2-40B4-BE49-F238E27FC236}">
              <a16:creationId xmlns:a16="http://schemas.microsoft.com/office/drawing/2014/main" id="{3F2FEB7E-68F2-4874-867B-C1F464DBF454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45</xdr:row>
      <xdr:rowOff>0</xdr:rowOff>
    </xdr:from>
    <xdr:ext cx="104775" cy="208801"/>
    <xdr:sp macro="" textlink="">
      <xdr:nvSpPr>
        <xdr:cNvPr id="1076" name="Text Box 249">
          <a:extLst>
            <a:ext uri="{FF2B5EF4-FFF2-40B4-BE49-F238E27FC236}">
              <a16:creationId xmlns:a16="http://schemas.microsoft.com/office/drawing/2014/main" id="{03B74AF8-000B-43C8-AA27-EA9F70DE314E}"/>
            </a:ext>
          </a:extLst>
        </xdr:cNvPr>
        <xdr:cNvSpPr txBox="1">
          <a:spLocks noChangeArrowheads="1"/>
        </xdr:cNvSpPr>
      </xdr:nvSpPr>
      <xdr:spPr bwMode="auto">
        <a:xfrm>
          <a:off x="9550101" y="848957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45</xdr:row>
      <xdr:rowOff>0</xdr:rowOff>
    </xdr:from>
    <xdr:ext cx="104775" cy="210011"/>
    <xdr:sp macro="" textlink="">
      <xdr:nvSpPr>
        <xdr:cNvPr id="1077" name="Text Box 249">
          <a:extLst>
            <a:ext uri="{FF2B5EF4-FFF2-40B4-BE49-F238E27FC236}">
              <a16:creationId xmlns:a16="http://schemas.microsoft.com/office/drawing/2014/main" id="{6ADF3556-61E7-4F2A-A26C-F65EDC5F4A17}"/>
            </a:ext>
          </a:extLst>
        </xdr:cNvPr>
        <xdr:cNvSpPr txBox="1">
          <a:spLocks noChangeArrowheads="1"/>
        </xdr:cNvSpPr>
      </xdr:nvSpPr>
      <xdr:spPr bwMode="auto">
        <a:xfrm>
          <a:off x="9552641" y="848957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1078" name="Text Box 249">
          <a:extLst>
            <a:ext uri="{FF2B5EF4-FFF2-40B4-BE49-F238E27FC236}">
              <a16:creationId xmlns:a16="http://schemas.microsoft.com/office/drawing/2014/main" id="{FD12FCCA-A673-44AF-A549-E2DF22854AC5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79" name="Text Box 249">
          <a:extLst>
            <a:ext uri="{FF2B5EF4-FFF2-40B4-BE49-F238E27FC236}">
              <a16:creationId xmlns:a16="http://schemas.microsoft.com/office/drawing/2014/main" id="{C218F0FB-8D31-465B-9159-0EDFF709F1C1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80" name="Text Box 249">
          <a:extLst>
            <a:ext uri="{FF2B5EF4-FFF2-40B4-BE49-F238E27FC236}">
              <a16:creationId xmlns:a16="http://schemas.microsoft.com/office/drawing/2014/main" id="{72728689-F799-461D-B13F-C739356F5E44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81" name="Text Box 249">
          <a:extLst>
            <a:ext uri="{FF2B5EF4-FFF2-40B4-BE49-F238E27FC236}">
              <a16:creationId xmlns:a16="http://schemas.microsoft.com/office/drawing/2014/main" id="{AD0459C3-0F13-47FF-AD81-F179438EFB10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82" name="Text Box 249">
          <a:extLst>
            <a:ext uri="{FF2B5EF4-FFF2-40B4-BE49-F238E27FC236}">
              <a16:creationId xmlns:a16="http://schemas.microsoft.com/office/drawing/2014/main" id="{E56AFAE1-DE94-47C4-9658-3DF92B720D32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83" name="Text Box 249">
          <a:extLst>
            <a:ext uri="{FF2B5EF4-FFF2-40B4-BE49-F238E27FC236}">
              <a16:creationId xmlns:a16="http://schemas.microsoft.com/office/drawing/2014/main" id="{07C02DE4-8698-46CD-AE37-0DB209C37FF4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84" name="Text Box 249">
          <a:extLst>
            <a:ext uri="{FF2B5EF4-FFF2-40B4-BE49-F238E27FC236}">
              <a16:creationId xmlns:a16="http://schemas.microsoft.com/office/drawing/2014/main" id="{71D19FF4-E876-4B30-BFCD-F4EB9FC6F0AC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1085" name="Text Box 249">
          <a:extLst>
            <a:ext uri="{FF2B5EF4-FFF2-40B4-BE49-F238E27FC236}">
              <a16:creationId xmlns:a16="http://schemas.microsoft.com/office/drawing/2014/main" id="{B2DCA098-32F6-4F62-A3A3-D73AA670C18E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1086" name="Text Box 249">
          <a:extLst>
            <a:ext uri="{FF2B5EF4-FFF2-40B4-BE49-F238E27FC236}">
              <a16:creationId xmlns:a16="http://schemas.microsoft.com/office/drawing/2014/main" id="{CC5CCE7E-D8DE-4E14-96AA-2A87F07C0CBF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87" name="Text Box 249">
          <a:extLst>
            <a:ext uri="{FF2B5EF4-FFF2-40B4-BE49-F238E27FC236}">
              <a16:creationId xmlns:a16="http://schemas.microsoft.com/office/drawing/2014/main" id="{474502BF-91B8-4DD1-8B87-1947790009A5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88" name="Text Box 249">
          <a:extLst>
            <a:ext uri="{FF2B5EF4-FFF2-40B4-BE49-F238E27FC236}">
              <a16:creationId xmlns:a16="http://schemas.microsoft.com/office/drawing/2014/main" id="{53CEEFC0-76BF-4575-82B7-4CF5160F8ADD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89" name="Text Box 249">
          <a:extLst>
            <a:ext uri="{FF2B5EF4-FFF2-40B4-BE49-F238E27FC236}">
              <a16:creationId xmlns:a16="http://schemas.microsoft.com/office/drawing/2014/main" id="{0C53E0A9-1518-4529-957B-4BFE75F0CB54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90" name="Text Box 249">
          <a:extLst>
            <a:ext uri="{FF2B5EF4-FFF2-40B4-BE49-F238E27FC236}">
              <a16:creationId xmlns:a16="http://schemas.microsoft.com/office/drawing/2014/main" id="{CA062A07-18E9-4CD7-9796-147E392EF6E9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91" name="Text Box 249">
          <a:extLst>
            <a:ext uri="{FF2B5EF4-FFF2-40B4-BE49-F238E27FC236}">
              <a16:creationId xmlns:a16="http://schemas.microsoft.com/office/drawing/2014/main" id="{3E2F33C7-447E-4B3E-9163-0F3E7528B589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92" name="Text Box 249">
          <a:extLst>
            <a:ext uri="{FF2B5EF4-FFF2-40B4-BE49-F238E27FC236}">
              <a16:creationId xmlns:a16="http://schemas.microsoft.com/office/drawing/2014/main" id="{D27873DD-3CC4-48B8-AC5E-48B3EDCBCCEF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1093" name="Text Box 249">
          <a:extLst>
            <a:ext uri="{FF2B5EF4-FFF2-40B4-BE49-F238E27FC236}">
              <a16:creationId xmlns:a16="http://schemas.microsoft.com/office/drawing/2014/main" id="{834AACB3-0D3E-493C-B1FE-CE68138C74F8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1094" name="Text Box 249">
          <a:extLst>
            <a:ext uri="{FF2B5EF4-FFF2-40B4-BE49-F238E27FC236}">
              <a16:creationId xmlns:a16="http://schemas.microsoft.com/office/drawing/2014/main" id="{FEAF3242-A599-4C03-9F25-8EAA43D9B51A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95" name="Text Box 249">
          <a:extLst>
            <a:ext uri="{FF2B5EF4-FFF2-40B4-BE49-F238E27FC236}">
              <a16:creationId xmlns:a16="http://schemas.microsoft.com/office/drawing/2014/main" id="{096C0518-C8AA-4360-A8B1-3D53BEFCAFDF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96" name="Text Box 249">
          <a:extLst>
            <a:ext uri="{FF2B5EF4-FFF2-40B4-BE49-F238E27FC236}">
              <a16:creationId xmlns:a16="http://schemas.microsoft.com/office/drawing/2014/main" id="{5FD09A05-0424-4B6F-A836-3029F206226A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97" name="Text Box 249">
          <a:extLst>
            <a:ext uri="{FF2B5EF4-FFF2-40B4-BE49-F238E27FC236}">
              <a16:creationId xmlns:a16="http://schemas.microsoft.com/office/drawing/2014/main" id="{6862C953-46C6-4A32-94DF-C9A8903E6113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98" name="Text Box 249">
          <a:extLst>
            <a:ext uri="{FF2B5EF4-FFF2-40B4-BE49-F238E27FC236}">
              <a16:creationId xmlns:a16="http://schemas.microsoft.com/office/drawing/2014/main" id="{80C689A8-D872-4C6F-BCFD-6A374ABEA802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099" name="Text Box 249">
          <a:extLst>
            <a:ext uri="{FF2B5EF4-FFF2-40B4-BE49-F238E27FC236}">
              <a16:creationId xmlns:a16="http://schemas.microsoft.com/office/drawing/2014/main" id="{99E99DC4-9801-41A9-BCB5-1C06156CFC5F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00" name="Text Box 249">
          <a:extLst>
            <a:ext uri="{FF2B5EF4-FFF2-40B4-BE49-F238E27FC236}">
              <a16:creationId xmlns:a16="http://schemas.microsoft.com/office/drawing/2014/main" id="{B00D852D-9FB4-4872-B776-50A36C9247A4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1101" name="Text Box 249">
          <a:extLst>
            <a:ext uri="{FF2B5EF4-FFF2-40B4-BE49-F238E27FC236}">
              <a16:creationId xmlns:a16="http://schemas.microsoft.com/office/drawing/2014/main" id="{1526C7A7-7991-4915-A0D2-0D289354CEC3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1102" name="Text Box 249">
          <a:extLst>
            <a:ext uri="{FF2B5EF4-FFF2-40B4-BE49-F238E27FC236}">
              <a16:creationId xmlns:a16="http://schemas.microsoft.com/office/drawing/2014/main" id="{0A44612F-33AA-4BEC-9AFC-13659B67F302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03" name="Text Box 249">
          <a:extLst>
            <a:ext uri="{FF2B5EF4-FFF2-40B4-BE49-F238E27FC236}">
              <a16:creationId xmlns:a16="http://schemas.microsoft.com/office/drawing/2014/main" id="{8A41881D-7476-4B20-92D3-850EE5C3A27D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04" name="Text Box 249">
          <a:extLst>
            <a:ext uri="{FF2B5EF4-FFF2-40B4-BE49-F238E27FC236}">
              <a16:creationId xmlns:a16="http://schemas.microsoft.com/office/drawing/2014/main" id="{2735BC61-EC72-4E78-A523-2A5143817D27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05" name="Text Box 249">
          <a:extLst>
            <a:ext uri="{FF2B5EF4-FFF2-40B4-BE49-F238E27FC236}">
              <a16:creationId xmlns:a16="http://schemas.microsoft.com/office/drawing/2014/main" id="{77A8FD9A-A1C2-4D35-BF50-21748F8E1144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06" name="Text Box 249">
          <a:extLst>
            <a:ext uri="{FF2B5EF4-FFF2-40B4-BE49-F238E27FC236}">
              <a16:creationId xmlns:a16="http://schemas.microsoft.com/office/drawing/2014/main" id="{47563924-4C8F-4B09-92BA-C64ACC499C35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07" name="Text Box 249">
          <a:extLst>
            <a:ext uri="{FF2B5EF4-FFF2-40B4-BE49-F238E27FC236}">
              <a16:creationId xmlns:a16="http://schemas.microsoft.com/office/drawing/2014/main" id="{D06EEA7F-15DA-4031-AB11-4791A8F7B0E2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08" name="Text Box 249">
          <a:extLst>
            <a:ext uri="{FF2B5EF4-FFF2-40B4-BE49-F238E27FC236}">
              <a16:creationId xmlns:a16="http://schemas.microsoft.com/office/drawing/2014/main" id="{0F8F71D5-0FE5-4004-913C-A57A69F6EA1F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1109" name="Text Box 249">
          <a:extLst>
            <a:ext uri="{FF2B5EF4-FFF2-40B4-BE49-F238E27FC236}">
              <a16:creationId xmlns:a16="http://schemas.microsoft.com/office/drawing/2014/main" id="{D32B7755-51C9-43D9-B872-A1F61A0D1B84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1110" name="Text Box 249">
          <a:extLst>
            <a:ext uri="{FF2B5EF4-FFF2-40B4-BE49-F238E27FC236}">
              <a16:creationId xmlns:a16="http://schemas.microsoft.com/office/drawing/2014/main" id="{D0B46259-92D1-4EF6-92D8-4C198D7ACB57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11" name="Text Box 249">
          <a:extLst>
            <a:ext uri="{FF2B5EF4-FFF2-40B4-BE49-F238E27FC236}">
              <a16:creationId xmlns:a16="http://schemas.microsoft.com/office/drawing/2014/main" id="{F7189A1D-4004-4604-B4A2-CCEA29DA0505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12" name="Text Box 249">
          <a:extLst>
            <a:ext uri="{FF2B5EF4-FFF2-40B4-BE49-F238E27FC236}">
              <a16:creationId xmlns:a16="http://schemas.microsoft.com/office/drawing/2014/main" id="{4518B136-125D-436D-A9C5-03AFCA6DB7D8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13" name="Text Box 249">
          <a:extLst>
            <a:ext uri="{FF2B5EF4-FFF2-40B4-BE49-F238E27FC236}">
              <a16:creationId xmlns:a16="http://schemas.microsoft.com/office/drawing/2014/main" id="{2A5A694E-BBDA-40D6-8EEE-14810CA32637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14" name="Text Box 249">
          <a:extLst>
            <a:ext uri="{FF2B5EF4-FFF2-40B4-BE49-F238E27FC236}">
              <a16:creationId xmlns:a16="http://schemas.microsoft.com/office/drawing/2014/main" id="{CCC1C378-9B6F-4435-9B27-AC81D512B1A8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15" name="Text Box 249">
          <a:extLst>
            <a:ext uri="{FF2B5EF4-FFF2-40B4-BE49-F238E27FC236}">
              <a16:creationId xmlns:a16="http://schemas.microsoft.com/office/drawing/2014/main" id="{3FFF50F2-5DF7-4672-A908-23DA7AE53690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16" name="Text Box 249">
          <a:extLst>
            <a:ext uri="{FF2B5EF4-FFF2-40B4-BE49-F238E27FC236}">
              <a16:creationId xmlns:a16="http://schemas.microsoft.com/office/drawing/2014/main" id="{DBB24888-7111-4CFB-85C9-30488CCA96D5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1117" name="Text Box 249">
          <a:extLst>
            <a:ext uri="{FF2B5EF4-FFF2-40B4-BE49-F238E27FC236}">
              <a16:creationId xmlns:a16="http://schemas.microsoft.com/office/drawing/2014/main" id="{B25D0B15-A1A7-413D-955D-93E7FBB982C3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17326" cy="218324"/>
    <xdr:sp macro="" textlink="">
      <xdr:nvSpPr>
        <xdr:cNvPr id="1118" name="Text Box 249">
          <a:extLst>
            <a:ext uri="{FF2B5EF4-FFF2-40B4-BE49-F238E27FC236}">
              <a16:creationId xmlns:a16="http://schemas.microsoft.com/office/drawing/2014/main" id="{A25B422C-4D4B-41F7-9E6A-A881FE388FB0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17326" cy="218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19" name="Text Box 249">
          <a:extLst>
            <a:ext uri="{FF2B5EF4-FFF2-40B4-BE49-F238E27FC236}">
              <a16:creationId xmlns:a16="http://schemas.microsoft.com/office/drawing/2014/main" id="{E5C5E827-F7AB-433F-A158-D555686FD703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20" name="Text Box 249">
          <a:extLst>
            <a:ext uri="{FF2B5EF4-FFF2-40B4-BE49-F238E27FC236}">
              <a16:creationId xmlns:a16="http://schemas.microsoft.com/office/drawing/2014/main" id="{AAA0BD66-DDED-44B0-89DD-62BB10967099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21" name="Text Box 249">
          <a:extLst>
            <a:ext uri="{FF2B5EF4-FFF2-40B4-BE49-F238E27FC236}">
              <a16:creationId xmlns:a16="http://schemas.microsoft.com/office/drawing/2014/main" id="{C0ABFF22-272A-48BC-BF3A-AC32357EEDCC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22" name="Text Box 249">
          <a:extLst>
            <a:ext uri="{FF2B5EF4-FFF2-40B4-BE49-F238E27FC236}">
              <a16:creationId xmlns:a16="http://schemas.microsoft.com/office/drawing/2014/main" id="{1E5A175A-3D8C-450A-B3F9-0835696A6EFA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23" name="Text Box 249">
          <a:extLst>
            <a:ext uri="{FF2B5EF4-FFF2-40B4-BE49-F238E27FC236}">
              <a16:creationId xmlns:a16="http://schemas.microsoft.com/office/drawing/2014/main" id="{C8A6CAA0-FF2E-49A2-BC27-5E21B3BA22E7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1714500</xdr:colOff>
      <xdr:row>46</xdr:row>
      <xdr:rowOff>0</xdr:rowOff>
    </xdr:from>
    <xdr:ext cx="104775" cy="208801"/>
    <xdr:sp macro="" textlink="">
      <xdr:nvSpPr>
        <xdr:cNvPr id="1124" name="Text Box 249">
          <a:extLst>
            <a:ext uri="{FF2B5EF4-FFF2-40B4-BE49-F238E27FC236}">
              <a16:creationId xmlns:a16="http://schemas.microsoft.com/office/drawing/2014/main" id="{5CA555DB-FF1B-4B4D-9A36-87A7F0DD0D74}"/>
            </a:ext>
          </a:extLst>
        </xdr:cNvPr>
        <xdr:cNvSpPr txBox="1">
          <a:spLocks noChangeArrowheads="1"/>
        </xdr:cNvSpPr>
      </xdr:nvSpPr>
      <xdr:spPr bwMode="auto">
        <a:xfrm>
          <a:off x="9550101" y="8659906"/>
          <a:ext cx="104775" cy="208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2501900</xdr:colOff>
      <xdr:row>46</xdr:row>
      <xdr:rowOff>0</xdr:rowOff>
    </xdr:from>
    <xdr:ext cx="104775" cy="210011"/>
    <xdr:sp macro="" textlink="">
      <xdr:nvSpPr>
        <xdr:cNvPr id="1125" name="Text Box 249">
          <a:extLst>
            <a:ext uri="{FF2B5EF4-FFF2-40B4-BE49-F238E27FC236}">
              <a16:creationId xmlns:a16="http://schemas.microsoft.com/office/drawing/2014/main" id="{A679D673-6C1A-4084-92EA-3BB9B2E6B127}"/>
            </a:ext>
          </a:extLst>
        </xdr:cNvPr>
        <xdr:cNvSpPr txBox="1">
          <a:spLocks noChangeArrowheads="1"/>
        </xdr:cNvSpPr>
      </xdr:nvSpPr>
      <xdr:spPr bwMode="auto">
        <a:xfrm>
          <a:off x="9552641" y="8659906"/>
          <a:ext cx="104775" cy="2100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200025</xdr:colOff>
      <xdr:row>55</xdr:row>
      <xdr:rowOff>0</xdr:rowOff>
    </xdr:from>
    <xdr:to>
      <xdr:col>14</xdr:col>
      <xdr:colOff>123825</xdr:colOff>
      <xdr:row>56</xdr:row>
      <xdr:rowOff>138545</xdr:rowOff>
    </xdr:to>
    <xdr:sp macro="" textlink="">
      <xdr:nvSpPr>
        <xdr:cNvPr id="3" name="Elipse 2">
          <a:extLst>
            <a:ext uri="{FF2B5EF4-FFF2-40B4-BE49-F238E27FC236}">
              <a16:creationId xmlns:a16="http://schemas.microsoft.com/office/drawing/2014/main" id="{4263B151-0F13-F84B-2991-186F24CDAE15}"/>
            </a:ext>
          </a:extLst>
        </xdr:cNvPr>
        <xdr:cNvSpPr/>
      </xdr:nvSpPr>
      <xdr:spPr>
        <a:xfrm>
          <a:off x="17783752" y="14441055"/>
          <a:ext cx="651164" cy="41794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14</xdr:col>
      <xdr:colOff>123825</xdr:colOff>
      <xdr:row>55</xdr:row>
      <xdr:rowOff>183573</xdr:rowOff>
    </xdr:from>
    <xdr:to>
      <xdr:col>15</xdr:col>
      <xdr:colOff>533400</xdr:colOff>
      <xdr:row>67</xdr:row>
      <xdr:rowOff>66675</xdr:rowOff>
    </xdr:to>
    <xdr:cxnSp macro="">
      <xdr:nvCxnSpPr>
        <xdr:cNvPr id="6" name="Conector recto de flecha 5">
          <a:extLst>
            <a:ext uri="{FF2B5EF4-FFF2-40B4-BE49-F238E27FC236}">
              <a16:creationId xmlns:a16="http://schemas.microsoft.com/office/drawing/2014/main" id="{3AD7D96F-6C39-EBC5-F0BE-8C61813DD452}"/>
            </a:ext>
          </a:extLst>
        </xdr:cNvPr>
        <xdr:cNvCxnSpPr>
          <a:stCxn id="3" idx="6"/>
        </xdr:cNvCxnSpPr>
      </xdr:nvCxnSpPr>
      <xdr:spPr>
        <a:xfrm>
          <a:off x="18434916" y="14650028"/>
          <a:ext cx="1113848" cy="255010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200025</xdr:colOff>
      <xdr:row>55</xdr:row>
      <xdr:rowOff>0</xdr:rowOff>
    </xdr:from>
    <xdr:to>
      <xdr:col>14</xdr:col>
      <xdr:colOff>123825</xdr:colOff>
      <xdr:row>56</xdr:row>
      <xdr:rowOff>138545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DF5A8A81-2BD6-40BE-9723-8317532565CC}"/>
            </a:ext>
          </a:extLst>
        </xdr:cNvPr>
        <xdr:cNvSpPr/>
      </xdr:nvSpPr>
      <xdr:spPr>
        <a:xfrm>
          <a:off x="17764125" y="14333220"/>
          <a:ext cx="655320" cy="39000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14</xdr:col>
      <xdr:colOff>123825</xdr:colOff>
      <xdr:row>55</xdr:row>
      <xdr:rowOff>183573</xdr:rowOff>
    </xdr:from>
    <xdr:to>
      <xdr:col>15</xdr:col>
      <xdr:colOff>533400</xdr:colOff>
      <xdr:row>67</xdr:row>
      <xdr:rowOff>66675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28FC0308-9D9A-4829-BC43-7AADAD13831C}"/>
            </a:ext>
          </a:extLst>
        </xdr:cNvPr>
        <xdr:cNvCxnSpPr>
          <a:stCxn id="2" idx="6"/>
        </xdr:cNvCxnSpPr>
      </xdr:nvCxnSpPr>
      <xdr:spPr>
        <a:xfrm>
          <a:off x="18419445" y="14516793"/>
          <a:ext cx="1110615" cy="278632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cliftons\My%20Documents\001%20DHL\001%20First%20Choice\003%20Process%20Improvement%20&amp;%20CI\PIM%20Course%20II\DPWN_FC_Workbook_UMS_2007_02_2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ropbox/Prestaci&#243;n%20Redise&#241;o%20procesos%20log&#237;stico-Productivos%20Fagor%20Industrial/Ventas%20Lavado/Niveles%20productivos%20sobre%20ESTIMACION%202021-2025%20-%20DAVID%20-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/Dropbox/Prestaci&#243;n%20Redise&#241;o%20procesos%20log&#237;stico-Productivos%20Fagor%20Industrial/Estimaci&#243;n%20ventas%202020-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ropbox/Prestaci&#243;n%20Redise&#241;o%20procesos%20log&#237;stico-Productivos%20Fagor%20Industrial/Procesos/MB51%20Recepciones%20Acopio%20Externo%2035-120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ropbox/Prestaci&#243;n%20Redise&#241;o%20procesos%20log&#237;stico-Productivos%20Fagor%20Industrial/Procesos/wurth%20arropa%20garbigailuak%20202006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D-Initiative Workplan"/>
      <sheetName val="D-Action plan"/>
      <sheetName val="D-SIPOC"/>
      <sheetName val="D-CTC-Matrix"/>
      <sheetName val="D-RACI &amp; Implementation Plan"/>
      <sheetName val="D-Team GPRI"/>
      <sheetName val="D-Stakeholder Analysis"/>
      <sheetName val="D-Communictaion Plan"/>
      <sheetName val="M-Output-Measurement-Matrix"/>
      <sheetName val="M-Data collection plan"/>
      <sheetName val="M-TimeSeriesPlot"/>
      <sheetName val="M-Histogram"/>
      <sheetName val="M-ParetoChart_raw_data"/>
      <sheetName val="M-ParetoChart_Summarised_data"/>
      <sheetName val="M-SSC_Continuous"/>
      <sheetName val="M-SSC_Discrete"/>
      <sheetName val="A-FMEA"/>
      <sheetName val="A-Cause &amp; Effect"/>
      <sheetName val="A-Process Map"/>
      <sheetName val="A-VSM"/>
      <sheetName val="A-Analyze_closure_Matrix"/>
      <sheetName val="I-List of potential solutions"/>
      <sheetName val="I-Effort-Benefit-Matrix"/>
      <sheetName val="I-Implementation plan"/>
      <sheetName val="I-Implementation plan detailed"/>
      <sheetName val="I-Must Criteria"/>
      <sheetName val="I-Selected_solutions"/>
      <sheetName val="C-Process_control_diagram"/>
      <sheetName val="DMAiC Journal"/>
      <sheetName val="My sheet to check calculation"/>
      <sheetName val="Working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9">
          <cell r="BN9" t="str">
            <v>Workingdata!$BR$15:$BR41</v>
          </cell>
        </row>
        <row r="12">
          <cell r="BN12" t="str">
            <v>Workingdata!$BS$15:$BS41</v>
          </cell>
        </row>
        <row r="13">
          <cell r="DQ13" t="str">
            <v>Workingdata!$DH$15:$DH18</v>
          </cell>
          <cell r="EH13" t="str">
            <v>Workingdata!$Dy$15:$Dy20</v>
          </cell>
        </row>
        <row r="15">
          <cell r="BN15" t="str">
            <v>Workingdata!$BT$15:$BT41</v>
          </cell>
        </row>
        <row r="17">
          <cell r="J17" t="str">
            <v>Workingdata!$K$15:$K34</v>
          </cell>
          <cell r="DQ17" t="str">
            <v>Workingdata!$DI$15:$DI18</v>
          </cell>
          <cell r="EH17" t="str">
            <v>Workingdata!$Dz$15:$Dz20</v>
          </cell>
        </row>
        <row r="18">
          <cell r="J18" t="str">
            <v>Workingdata!$F$15:$F34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isión 2020"/>
      <sheetName val="Previsión 2022-2025"/>
      <sheetName val="capacidad lineas"/>
      <sheetName val="Hoja1"/>
    </sheetNames>
    <sheetDataSet>
      <sheetData sheetId="0" refreshError="1"/>
      <sheetData sheetId="1" refreshError="1"/>
      <sheetData sheetId="2">
        <row r="10">
          <cell r="H10">
            <v>60</v>
          </cell>
        </row>
        <row r="19">
          <cell r="I19">
            <v>20</v>
          </cell>
        </row>
      </sheetData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>
        <row r="4">
          <cell r="L4">
            <v>61.354752264150925</v>
          </cell>
        </row>
        <row r="19">
          <cell r="K19">
            <v>5.8137962264150929</v>
          </cell>
        </row>
        <row r="27">
          <cell r="K27"/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1"/>
      <sheetName val="Sheet1"/>
      <sheetName val="Sheet2"/>
      <sheetName val="Sheet3"/>
    </sheetNames>
    <sheetDataSet>
      <sheetData sheetId="0">
        <row r="537">
          <cell r="F537">
            <v>150.20211689522756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RIBAI"/>
      <sheetName val="SANTXOLOPETEGUI"/>
      <sheetName val="Hoja2"/>
      <sheetName val="Resumen Referencias Wurth"/>
      <sheetName val="Referencias Juntas"/>
    </sheetNames>
    <sheetDataSet>
      <sheetData sheetId="0"/>
      <sheetData sheetId="1">
        <row r="99">
          <cell r="K99">
            <v>5.8548823595632076</v>
          </cell>
        </row>
        <row r="105">
          <cell r="K105">
            <v>4.8507609513338314</v>
          </cell>
        </row>
        <row r="108">
          <cell r="K108">
            <v>3.3952694169116828</v>
          </cell>
        </row>
      </sheetData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David Ruiz Ugarte" id="{FB401F14-FB5D-496D-A9D1-914C8149B56B}" userId="8c10618512223eca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77" dT="2024-04-30T07:31:00.71" personId="{FB401F14-FB5D-496D-A9D1-914C8149B56B}" id="{0814BC1F-E09D-4DD1-841B-F2560A476873}">
    <text>Se genera etiqueta de destino?? Cómo se donde va??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77" dT="2024-04-30T07:31:00.71" personId="{FB401F14-FB5D-496D-A9D1-914C8149B56B}" id="{29E0D0CA-2A26-47A1-877E-B2D2B768A3F0}">
    <text>Se genera etiqueta de destino?? Cómo se donde va??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E46" dT="2024-07-11T07:37:31.86" personId="{FB401F14-FB5D-496D-A9D1-914C8149B56B}" id="{3B3C6592-6AAB-4457-9B40-CBB6C766D76F}">
    <text>Apilador?? Uno solo para esto??</text>
  </threadedComment>
  <threadedComment ref="F48" dT="2024-07-11T07:38:50.04" personId="{FB401F14-FB5D-496D-A9D1-914C8149B56B}" id="{F398D5AC-2089-4BCA-B3AF-5B651A6C5A39}">
    <text>Toro que carga 120 en camión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E46" dT="2024-07-11T07:37:31.86" personId="{FB401F14-FB5D-496D-A9D1-914C8149B56B}" id="{3B77CA2F-BD81-4EBB-9FF0-C8D455738186}">
    <text>Apilador?? Uno solo para esto??</text>
  </threadedComment>
  <threadedComment ref="F48" dT="2024-07-11T07:38:50.04" personId="{FB401F14-FB5D-496D-A9D1-914C8149B56B}" id="{FE39EDBB-428C-473D-B74D-3B80F2030ACF}">
    <text>Toro que carga 120 en camión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4.xml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D75F6-8973-4A72-8B14-45B0B53C31F8}">
  <dimension ref="A4:H55"/>
  <sheetViews>
    <sheetView tabSelected="1" topLeftCell="A28" workbookViewId="0">
      <selection activeCell="B50" sqref="B50"/>
    </sheetView>
  </sheetViews>
  <sheetFormatPr baseColWidth="10" defaultRowHeight="14.25" x14ac:dyDescent="0.45"/>
  <cols>
    <col min="1" max="1" width="11.73046875" bestFit="1" customWidth="1"/>
    <col min="2" max="2" width="95.265625" customWidth="1"/>
    <col min="3" max="4" width="10.265625" style="127" customWidth="1"/>
  </cols>
  <sheetData>
    <row r="4" spans="2:7" ht="16.899999999999999" x14ac:dyDescent="0.5">
      <c r="B4" s="306" t="s">
        <v>93</v>
      </c>
      <c r="C4" s="307" t="s">
        <v>94</v>
      </c>
      <c r="D4" s="125"/>
      <c r="E4" s="124"/>
      <c r="F4" s="124"/>
      <c r="G4" s="124"/>
    </row>
    <row r="5" spans="2:7" x14ac:dyDescent="0.45">
      <c r="B5" s="124"/>
      <c r="C5" s="125"/>
      <c r="D5" s="125"/>
      <c r="E5" s="124"/>
      <c r="F5" s="124"/>
      <c r="G5" s="124"/>
    </row>
    <row r="6" spans="2:7" x14ac:dyDescent="0.45">
      <c r="B6" t="s">
        <v>474</v>
      </c>
      <c r="C6" s="128">
        <v>0.72</v>
      </c>
      <c r="D6" s="125"/>
      <c r="E6" s="124"/>
      <c r="F6" s="124"/>
      <c r="G6" s="124"/>
    </row>
    <row r="7" spans="2:7" x14ac:dyDescent="0.45">
      <c r="B7" t="s">
        <v>475</v>
      </c>
      <c r="C7" s="128">
        <v>0.26</v>
      </c>
      <c r="D7" s="125"/>
      <c r="E7" s="124"/>
      <c r="F7" s="124"/>
      <c r="G7" s="124"/>
    </row>
    <row r="8" spans="2:7" x14ac:dyDescent="0.45">
      <c r="B8" t="s">
        <v>476</v>
      </c>
      <c r="C8" s="128">
        <v>0.02</v>
      </c>
      <c r="D8" s="460"/>
      <c r="E8" s="124"/>
      <c r="F8" s="124"/>
      <c r="G8" s="124"/>
    </row>
    <row r="9" spans="2:7" x14ac:dyDescent="0.45">
      <c r="C9" s="128"/>
      <c r="D9" s="125"/>
      <c r="E9" s="124"/>
      <c r="F9" s="124"/>
      <c r="G9" s="124"/>
    </row>
    <row r="10" spans="2:7" x14ac:dyDescent="0.45">
      <c r="B10" t="s">
        <v>718</v>
      </c>
      <c r="C10" s="128">
        <v>0.28000000000000003</v>
      </c>
      <c r="D10" s="125"/>
      <c r="E10" s="124"/>
      <c r="F10" s="124"/>
      <c r="G10" s="124"/>
    </row>
    <row r="11" spans="2:7" x14ac:dyDescent="0.45">
      <c r="B11" s="124"/>
      <c r="C11" s="125"/>
      <c r="D11" s="125"/>
      <c r="E11" s="124"/>
      <c r="F11" s="124"/>
      <c r="G11" s="124"/>
    </row>
    <row r="12" spans="2:7" x14ac:dyDescent="0.45">
      <c r="B12" s="176" t="s">
        <v>148</v>
      </c>
      <c r="C12" s="125"/>
      <c r="D12" s="125"/>
      <c r="E12" s="124"/>
      <c r="F12" s="124"/>
      <c r="G12" s="124"/>
    </row>
    <row r="13" spans="2:7" x14ac:dyDescent="0.45">
      <c r="B13" s="121" t="s">
        <v>284</v>
      </c>
      <c r="C13" s="126">
        <v>0.6</v>
      </c>
    </row>
    <row r="14" spans="2:7" x14ac:dyDescent="0.45">
      <c r="B14" s="121" t="s">
        <v>111</v>
      </c>
      <c r="C14" s="127">
        <f>+Volumenes!E58*Hipótesis!C13</f>
        <v>385.2</v>
      </c>
    </row>
    <row r="15" spans="2:7" x14ac:dyDescent="0.45">
      <c r="B15" s="121" t="s">
        <v>75</v>
      </c>
      <c r="C15" s="127">
        <v>3</v>
      </c>
    </row>
    <row r="16" spans="2:7" x14ac:dyDescent="0.45">
      <c r="B16" t="s">
        <v>112</v>
      </c>
      <c r="C16" s="127">
        <f>+C14/C15</f>
        <v>128.4</v>
      </c>
    </row>
    <row r="17" spans="1:8" x14ac:dyDescent="0.45">
      <c r="B17" s="45" t="s">
        <v>113</v>
      </c>
      <c r="C17" s="127">
        <v>15</v>
      </c>
    </row>
    <row r="18" spans="1:8" x14ac:dyDescent="0.45">
      <c r="B18" s="45" t="s">
        <v>144</v>
      </c>
      <c r="C18" s="172">
        <v>6</v>
      </c>
    </row>
    <row r="19" spans="1:8" x14ac:dyDescent="0.45">
      <c r="B19" s="45" t="s">
        <v>205</v>
      </c>
      <c r="C19" s="127">
        <v>2</v>
      </c>
      <c r="D19" s="203" t="s">
        <v>206</v>
      </c>
    </row>
    <row r="20" spans="1:8" x14ac:dyDescent="0.45">
      <c r="B20" s="176" t="s">
        <v>84</v>
      </c>
      <c r="C20" s="219">
        <v>0.15</v>
      </c>
      <c r="D20" s="129">
        <f>+Volumenes!$E$79*Hipótesis!C20</f>
        <v>159.9</v>
      </c>
    </row>
    <row r="21" spans="1:8" x14ac:dyDescent="0.45">
      <c r="B21" s="176" t="s">
        <v>85</v>
      </c>
      <c r="C21" s="219">
        <f>1-C20-C22</f>
        <v>0.82</v>
      </c>
      <c r="D21" s="129">
        <f>+Volumenes!$E$79*Hipótesis!C21</f>
        <v>874.12</v>
      </c>
    </row>
    <row r="22" spans="1:8" x14ac:dyDescent="0.45">
      <c r="B22" s="176" t="s">
        <v>86</v>
      </c>
      <c r="C22" s="219">
        <v>0.03</v>
      </c>
      <c r="D22" s="129">
        <f>+Volumenes!$E$79*Hipótesis!C22</f>
        <v>31.98</v>
      </c>
      <c r="E22" s="117"/>
      <c r="H22" s="458"/>
    </row>
    <row r="23" spans="1:8" x14ac:dyDescent="0.45">
      <c r="B23" t="s">
        <v>260</v>
      </c>
      <c r="C23" s="127">
        <v>1</v>
      </c>
      <c r="H23" s="458"/>
    </row>
    <row r="24" spans="1:8" x14ac:dyDescent="0.45">
      <c r="B24" t="s">
        <v>261</v>
      </c>
      <c r="C24" s="127">
        <v>1</v>
      </c>
      <c r="H24" s="458"/>
    </row>
    <row r="25" spans="1:8" x14ac:dyDescent="0.45">
      <c r="B25" t="s">
        <v>102</v>
      </c>
      <c r="D25" s="197">
        <f>+C6</f>
        <v>0.72</v>
      </c>
      <c r="E25" t="s">
        <v>521</v>
      </c>
      <c r="F25" s="457"/>
      <c r="H25" s="459"/>
    </row>
    <row r="26" spans="1:8" x14ac:dyDescent="0.45">
      <c r="B26" t="s">
        <v>283</v>
      </c>
      <c r="D26" s="197">
        <f>+C7</f>
        <v>0.26</v>
      </c>
      <c r="E26" t="s">
        <v>522</v>
      </c>
      <c r="F26" s="457"/>
    </row>
    <row r="27" spans="1:8" x14ac:dyDescent="0.45">
      <c r="B27" t="s">
        <v>282</v>
      </c>
      <c r="D27" s="197">
        <f>+C8</f>
        <v>0.02</v>
      </c>
      <c r="E27" t="s">
        <v>523</v>
      </c>
      <c r="F27" s="457"/>
    </row>
    <row r="28" spans="1:8" x14ac:dyDescent="0.45">
      <c r="B28" t="s">
        <v>103</v>
      </c>
      <c r="D28" s="346">
        <v>0</v>
      </c>
      <c r="E28" t="s">
        <v>104</v>
      </c>
    </row>
    <row r="29" spans="1:8" x14ac:dyDescent="0.45">
      <c r="B29" t="s">
        <v>285</v>
      </c>
      <c r="D29" s="129">
        <f>+D28+D25</f>
        <v>0.72</v>
      </c>
    </row>
    <row r="30" spans="1:8" x14ac:dyDescent="0.45">
      <c r="B30" t="s">
        <v>149</v>
      </c>
      <c r="D30" s="127">
        <v>4</v>
      </c>
    </row>
    <row r="31" spans="1:8" x14ac:dyDescent="0.45">
      <c r="B31" t="s">
        <v>150</v>
      </c>
      <c r="D31" s="127">
        <v>3</v>
      </c>
    </row>
    <row r="32" spans="1:8" x14ac:dyDescent="0.45">
      <c r="A32" t="s">
        <v>417</v>
      </c>
      <c r="B32" t="s">
        <v>573</v>
      </c>
      <c r="C32" s="128">
        <v>0.1</v>
      </c>
    </row>
    <row r="33" spans="1:5" x14ac:dyDescent="0.45">
      <c r="B33" t="s">
        <v>457</v>
      </c>
      <c r="C33" s="128">
        <v>0.85</v>
      </c>
    </row>
    <row r="34" spans="1:5" x14ac:dyDescent="0.45">
      <c r="B34" t="s">
        <v>458</v>
      </c>
      <c r="C34" s="128">
        <v>0.15</v>
      </c>
    </row>
    <row r="36" spans="1:5" x14ac:dyDescent="0.45">
      <c r="B36" t="s">
        <v>1139</v>
      </c>
      <c r="C36" s="128">
        <v>0.3</v>
      </c>
      <c r="D36" s="129"/>
    </row>
    <row r="37" spans="1:5" x14ac:dyDescent="0.45">
      <c r="B37" t="s">
        <v>1140</v>
      </c>
      <c r="C37" s="128">
        <v>0.7</v>
      </c>
      <c r="D37" s="129"/>
    </row>
    <row r="39" spans="1:5" x14ac:dyDescent="0.45">
      <c r="B39" t="s">
        <v>1141</v>
      </c>
      <c r="C39" s="128">
        <v>0.5</v>
      </c>
    </row>
    <row r="40" spans="1:5" x14ac:dyDescent="0.45">
      <c r="B40" t="s">
        <v>1142</v>
      </c>
      <c r="C40" s="128">
        <v>0.5</v>
      </c>
    </row>
    <row r="42" spans="1:5" x14ac:dyDescent="0.45">
      <c r="A42" t="s">
        <v>258</v>
      </c>
      <c r="B42" t="s">
        <v>289</v>
      </c>
      <c r="C42" s="128">
        <v>0.6</v>
      </c>
    </row>
    <row r="43" spans="1:5" x14ac:dyDescent="0.45">
      <c r="B43" t="s">
        <v>288</v>
      </c>
      <c r="C43" s="128">
        <v>0</v>
      </c>
    </row>
    <row r="44" spans="1:5" x14ac:dyDescent="0.45">
      <c r="B44" t="s">
        <v>1143</v>
      </c>
      <c r="C44" s="127">
        <v>2</v>
      </c>
      <c r="E44" t="s">
        <v>254</v>
      </c>
    </row>
    <row r="45" spans="1:5" x14ac:dyDescent="0.45">
      <c r="B45" t="s">
        <v>1144</v>
      </c>
      <c r="C45" s="128">
        <v>0.3</v>
      </c>
    </row>
    <row r="47" spans="1:5" x14ac:dyDescent="0.45">
      <c r="B47" t="s">
        <v>479</v>
      </c>
      <c r="C47" s="219">
        <v>0.6</v>
      </c>
    </row>
    <row r="48" spans="1:5" x14ac:dyDescent="0.45">
      <c r="B48" t="s">
        <v>478</v>
      </c>
      <c r="C48" s="219">
        <f>1-C47</f>
        <v>0.4</v>
      </c>
    </row>
    <row r="50" spans="1:3" x14ac:dyDescent="0.45">
      <c r="B50" t="s">
        <v>535</v>
      </c>
      <c r="C50" s="128">
        <v>0.65</v>
      </c>
    </row>
    <row r="51" spans="1:3" x14ac:dyDescent="0.45">
      <c r="B51" t="s">
        <v>534</v>
      </c>
      <c r="C51" s="128">
        <v>0.35</v>
      </c>
    </row>
    <row r="54" spans="1:3" x14ac:dyDescent="0.45">
      <c r="A54" t="s">
        <v>418</v>
      </c>
      <c r="B54" t="s">
        <v>559</v>
      </c>
      <c r="C54" s="127">
        <v>7</v>
      </c>
    </row>
    <row r="55" spans="1:3" x14ac:dyDescent="0.45">
      <c r="B55" t="s">
        <v>577</v>
      </c>
      <c r="C55" s="127">
        <v>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E5A20-29F5-4A03-8D36-60F73C3F820E}">
  <dimension ref="A2:G118"/>
  <sheetViews>
    <sheetView topLeftCell="A89" zoomScale="90" zoomScaleNormal="90" workbookViewId="0">
      <selection activeCell="B95" sqref="B95"/>
    </sheetView>
  </sheetViews>
  <sheetFormatPr baseColWidth="10" defaultColWidth="11.3984375" defaultRowHeight="12.75" x14ac:dyDescent="0.35"/>
  <cols>
    <col min="1" max="1" width="42" style="2" customWidth="1"/>
    <col min="2" max="2" width="75.73046875" style="2" customWidth="1"/>
    <col min="3" max="3" width="13.73046875" style="2" customWidth="1"/>
    <col min="4" max="4" width="18.265625" style="2" customWidth="1"/>
    <col min="5" max="5" width="15.59765625" style="2" customWidth="1"/>
    <col min="6" max="6" width="26.3984375" style="2" bestFit="1" customWidth="1"/>
    <col min="7" max="7" width="32.3984375" style="2" bestFit="1" customWidth="1"/>
    <col min="8" max="16384" width="11.3984375" style="2"/>
  </cols>
  <sheetData>
    <row r="2" spans="1:5" ht="28.9" customHeight="1" x14ac:dyDescent="0.6">
      <c r="A2" s="1" t="s">
        <v>0</v>
      </c>
    </row>
    <row r="5" spans="1:5" ht="25.9" customHeight="1" x14ac:dyDescent="0.35"/>
    <row r="6" spans="1:5" ht="16.899999999999999" x14ac:dyDescent="0.5">
      <c r="A6" s="3" t="s">
        <v>1</v>
      </c>
    </row>
    <row r="7" spans="1:5" ht="15" x14ac:dyDescent="0.4">
      <c r="B7" s="4"/>
      <c r="C7" s="5"/>
      <c r="D7" s="5"/>
    </row>
    <row r="8" spans="1:5" ht="15" x14ac:dyDescent="0.4">
      <c r="A8" s="6" t="s">
        <v>2</v>
      </c>
      <c r="B8" s="7">
        <f>8*60</f>
        <v>480</v>
      </c>
      <c r="C8" s="8" t="s">
        <v>3</v>
      </c>
    </row>
    <row r="9" spans="1:5" ht="15" x14ac:dyDescent="0.4">
      <c r="A9" s="9" t="s">
        <v>4</v>
      </c>
      <c r="B9" s="10">
        <v>15</v>
      </c>
      <c r="C9" s="8" t="s">
        <v>3</v>
      </c>
    </row>
    <row r="10" spans="1:5" ht="15" x14ac:dyDescent="0.4">
      <c r="A10" s="11" t="s">
        <v>5</v>
      </c>
      <c r="B10" s="12">
        <v>5</v>
      </c>
      <c r="C10" s="8" t="s">
        <v>3</v>
      </c>
    </row>
    <row r="11" spans="1:5" ht="15" x14ac:dyDescent="0.4">
      <c r="A11" s="13" t="s">
        <v>43</v>
      </c>
      <c r="B11" s="14">
        <f>B8-B9-B10</f>
        <v>460</v>
      </c>
      <c r="C11" s="8" t="s">
        <v>3</v>
      </c>
    </row>
    <row r="12" spans="1:5" ht="15" x14ac:dyDescent="0.4">
      <c r="A12" s="13" t="s">
        <v>44</v>
      </c>
      <c r="B12" s="14">
        <f>+B11*2</f>
        <v>920</v>
      </c>
      <c r="C12" s="8" t="s">
        <v>3</v>
      </c>
    </row>
    <row r="13" spans="1:5" ht="22.9" customHeight="1" x14ac:dyDescent="0.4">
      <c r="B13" s="4"/>
      <c r="C13" s="5"/>
      <c r="D13" s="5"/>
      <c r="E13" s="8"/>
    </row>
    <row r="14" spans="1:5" ht="22.9" customHeight="1" x14ac:dyDescent="0.4">
      <c r="C14" s="8"/>
      <c r="D14" s="8"/>
    </row>
    <row r="15" spans="1:5" ht="16.899999999999999" x14ac:dyDescent="0.5">
      <c r="A15" s="3" t="s">
        <v>6</v>
      </c>
      <c r="C15" s="8"/>
      <c r="D15" s="8"/>
    </row>
    <row r="16" spans="1:5" ht="12.6" customHeight="1" x14ac:dyDescent="0.5">
      <c r="B16" s="15"/>
      <c r="C16" s="4"/>
      <c r="D16" s="8"/>
    </row>
    <row r="17" spans="1:6" ht="15" x14ac:dyDescent="0.4">
      <c r="A17" s="16" t="s">
        <v>7</v>
      </c>
      <c r="B17" s="17"/>
      <c r="C17" s="18">
        <f>SUM(C18:C22)</f>
        <v>5.2500000000000005E-2</v>
      </c>
      <c r="E17" s="19"/>
      <c r="F17" s="8"/>
    </row>
    <row r="18" spans="1:6" ht="15" x14ac:dyDescent="0.4">
      <c r="A18" s="20" t="s">
        <v>8</v>
      </c>
      <c r="B18" s="21"/>
      <c r="C18" s="22">
        <v>1.2500000000000001E-2</v>
      </c>
      <c r="E18" s="19"/>
      <c r="F18" s="8"/>
    </row>
    <row r="19" spans="1:6" ht="15" x14ac:dyDescent="0.4">
      <c r="A19" s="23" t="s">
        <v>9</v>
      </c>
      <c r="B19" s="24"/>
      <c r="C19" s="25">
        <v>1.2500000000000001E-2</v>
      </c>
      <c r="E19" s="19"/>
      <c r="F19" s="8"/>
    </row>
    <row r="20" spans="1:6" ht="15" x14ac:dyDescent="0.4">
      <c r="A20" s="23" t="s">
        <v>10</v>
      </c>
      <c r="B20" s="24"/>
      <c r="C20" s="25">
        <v>1.2500000000000001E-2</v>
      </c>
      <c r="E20" s="19"/>
      <c r="F20" s="8"/>
    </row>
    <row r="21" spans="1:6" ht="15" x14ac:dyDescent="0.4">
      <c r="A21" s="23" t="s">
        <v>11</v>
      </c>
      <c r="B21" s="24"/>
      <c r="C21" s="25">
        <v>1.4999999999999999E-2</v>
      </c>
      <c r="E21" s="19"/>
      <c r="F21" s="8"/>
    </row>
    <row r="22" spans="1:6" ht="15" x14ac:dyDescent="0.4">
      <c r="A22" s="26" t="s">
        <v>12</v>
      </c>
      <c r="B22" s="27"/>
      <c r="C22" s="28">
        <v>0</v>
      </c>
      <c r="E22" s="19"/>
      <c r="F22" s="8"/>
    </row>
    <row r="23" spans="1:6" ht="22.9" customHeight="1" x14ac:dyDescent="0.35"/>
    <row r="24" spans="1:6" ht="22.9" customHeight="1" x14ac:dyDescent="0.35"/>
    <row r="25" spans="1:6" ht="16.899999999999999" x14ac:dyDescent="0.5">
      <c r="A25" s="3" t="s">
        <v>13</v>
      </c>
    </row>
    <row r="26" spans="1:6" ht="9.6" customHeight="1" x14ac:dyDescent="0.4">
      <c r="B26" s="29"/>
    </row>
    <row r="27" spans="1:6" ht="30.6" customHeight="1" x14ac:dyDescent="0.4">
      <c r="A27" s="30" t="s">
        <v>14</v>
      </c>
      <c r="B27" s="31" t="s">
        <v>15</v>
      </c>
      <c r="C27" s="32" t="s">
        <v>16</v>
      </c>
    </row>
    <row r="28" spans="1:6" ht="13.5" x14ac:dyDescent="0.35">
      <c r="A28" s="33" t="s">
        <v>17</v>
      </c>
      <c r="B28" s="34">
        <v>1.472</v>
      </c>
      <c r="C28" s="36">
        <f>+B28*3600/1000</f>
        <v>5.2991999999999999</v>
      </c>
      <c r="D28" s="2" t="s">
        <v>46</v>
      </c>
      <c r="E28" s="2" t="s">
        <v>108</v>
      </c>
    </row>
    <row r="29" spans="1:6" ht="13.5" x14ac:dyDescent="0.35">
      <c r="A29" s="35" t="s">
        <v>18</v>
      </c>
      <c r="B29" s="85">
        <v>1.95</v>
      </c>
      <c r="C29" s="36">
        <f>+B29*3600/1000</f>
        <v>7.02</v>
      </c>
      <c r="D29" s="2" t="s">
        <v>69</v>
      </c>
    </row>
    <row r="30" spans="1:6" ht="13.5" x14ac:dyDescent="0.35">
      <c r="A30" s="35" t="s">
        <v>221</v>
      </c>
      <c r="B30" s="85">
        <v>1</v>
      </c>
      <c r="C30" s="36">
        <f>+B30*3600/1000</f>
        <v>3.6</v>
      </c>
      <c r="D30" s="2" t="s">
        <v>69</v>
      </c>
    </row>
    <row r="31" spans="1:6" ht="22.15" customHeight="1" x14ac:dyDescent="0.35">
      <c r="B31" s="2" t="s">
        <v>159</v>
      </c>
    </row>
    <row r="32" spans="1:6" ht="22.15" customHeight="1" x14ac:dyDescent="0.35"/>
    <row r="33" spans="1:6" ht="22.15" customHeight="1" x14ac:dyDescent="0.35"/>
    <row r="34" spans="1:6" ht="22.15" customHeight="1" x14ac:dyDescent="0.5">
      <c r="A34" s="3" t="s">
        <v>325</v>
      </c>
    </row>
    <row r="35" spans="1:6" ht="22.15" customHeight="1" x14ac:dyDescent="0.35">
      <c r="A35" s="2" t="s">
        <v>46</v>
      </c>
    </row>
    <row r="36" spans="1:6" ht="22.15" customHeight="1" x14ac:dyDescent="0.35">
      <c r="A36" s="240">
        <v>1</v>
      </c>
      <c r="B36" s="2" t="s">
        <v>326</v>
      </c>
    </row>
    <row r="37" spans="1:6" ht="22.15" customHeight="1" x14ac:dyDescent="0.35"/>
    <row r="38" spans="1:6" ht="22.15" customHeight="1" x14ac:dyDescent="0.35"/>
    <row r="39" spans="1:6" ht="16.899999999999999" x14ac:dyDescent="0.5">
      <c r="A39" s="3" t="s">
        <v>19</v>
      </c>
      <c r="B39" s="37"/>
    </row>
    <row r="40" spans="1:6" ht="10.9" customHeight="1" x14ac:dyDescent="0.4">
      <c r="B40" s="38"/>
    </row>
    <row r="41" spans="1:6" ht="13.9" x14ac:dyDescent="0.4">
      <c r="A41" s="39" t="s">
        <v>20</v>
      </c>
      <c r="B41" s="39" t="s">
        <v>21</v>
      </c>
      <c r="C41" s="40" t="s">
        <v>100</v>
      </c>
      <c r="D41" s="40" t="s">
        <v>22</v>
      </c>
      <c r="E41" s="40" t="s">
        <v>23</v>
      </c>
      <c r="F41" s="40" t="s">
        <v>24</v>
      </c>
    </row>
    <row r="42" spans="1:6" x14ac:dyDescent="0.35">
      <c r="A42" s="20" t="s">
        <v>25</v>
      </c>
      <c r="B42" s="41" t="s">
        <v>48</v>
      </c>
      <c r="C42" s="277" t="s">
        <v>46</v>
      </c>
      <c r="D42" s="163"/>
      <c r="E42" s="278">
        <v>20</v>
      </c>
      <c r="F42" s="309">
        <f>(E42/$B$28)/60</f>
        <v>0.22644927536231885</v>
      </c>
    </row>
    <row r="43" spans="1:6" x14ac:dyDescent="0.35">
      <c r="A43" s="23"/>
      <c r="B43" s="42" t="s">
        <v>48</v>
      </c>
      <c r="C43" s="147" t="s">
        <v>69</v>
      </c>
      <c r="D43" s="147"/>
      <c r="E43" s="279">
        <v>20</v>
      </c>
      <c r="F43" s="310">
        <f>(E43/$B$29)/60</f>
        <v>0.17094017094017094</v>
      </c>
    </row>
    <row r="44" spans="1:6" x14ac:dyDescent="0.35">
      <c r="A44" s="23"/>
      <c r="B44" s="42" t="s">
        <v>131</v>
      </c>
      <c r="C44" s="147" t="s">
        <v>69</v>
      </c>
      <c r="D44" s="142"/>
      <c r="E44" s="279">
        <v>40</v>
      </c>
      <c r="F44" s="310">
        <f>(E44/$B$29)/60</f>
        <v>0.34188034188034189</v>
      </c>
    </row>
    <row r="45" spans="1:6" x14ac:dyDescent="0.35">
      <c r="A45" s="23"/>
      <c r="B45" s="42" t="s">
        <v>208</v>
      </c>
      <c r="C45" s="147" t="s">
        <v>46</v>
      </c>
      <c r="D45" s="142"/>
      <c r="E45" s="279">
        <v>40</v>
      </c>
      <c r="F45" s="310">
        <f>(E45/$B$28)/60</f>
        <v>0.45289855072463769</v>
      </c>
    </row>
    <row r="46" spans="1:6" x14ac:dyDescent="0.35">
      <c r="A46" s="23"/>
      <c r="B46" s="42" t="s">
        <v>142</v>
      </c>
      <c r="C46" s="147" t="s">
        <v>69</v>
      </c>
      <c r="D46" s="142"/>
      <c r="E46" s="279">
        <v>15</v>
      </c>
      <c r="F46" s="310">
        <f>(E46/$B$29)/60</f>
        <v>0.12820512820512822</v>
      </c>
    </row>
    <row r="47" spans="1:6" x14ac:dyDescent="0.35">
      <c r="A47" s="23"/>
      <c r="B47" s="42" t="s">
        <v>53</v>
      </c>
      <c r="C47" s="147" t="s">
        <v>46</v>
      </c>
      <c r="D47" s="142"/>
      <c r="E47" s="279">
        <v>20</v>
      </c>
      <c r="F47" s="310">
        <f>(E47/$B$28)/60</f>
        <v>0.22644927536231885</v>
      </c>
    </row>
    <row r="48" spans="1:6" x14ac:dyDescent="0.35">
      <c r="A48" s="23"/>
      <c r="B48" s="185" t="s">
        <v>151</v>
      </c>
      <c r="C48" s="147" t="s">
        <v>46</v>
      </c>
      <c r="D48" s="142"/>
      <c r="E48" s="279">
        <v>6</v>
      </c>
      <c r="F48" s="310">
        <f>(E48/$B$28)/60</f>
        <v>6.7934782608695649E-2</v>
      </c>
    </row>
    <row r="49" spans="1:6" x14ac:dyDescent="0.35">
      <c r="A49" s="23"/>
      <c r="B49" s="185" t="s">
        <v>141</v>
      </c>
      <c r="C49" s="147" t="s">
        <v>69</v>
      </c>
      <c r="D49" s="142"/>
      <c r="E49" s="279">
        <v>10</v>
      </c>
      <c r="F49" s="310">
        <f t="shared" ref="F49:F57" si="0">(E49/$B$29)/60</f>
        <v>8.5470085470085472E-2</v>
      </c>
    </row>
    <row r="50" spans="1:6" x14ac:dyDescent="0.35">
      <c r="A50" s="23"/>
      <c r="B50" s="185" t="s">
        <v>230</v>
      </c>
      <c r="C50" s="147" t="s">
        <v>46</v>
      </c>
      <c r="D50" s="142" t="s">
        <v>204</v>
      </c>
      <c r="E50" s="279">
        <v>20</v>
      </c>
      <c r="F50" s="310">
        <f>(E50/$B$28)/60</f>
        <v>0.22644927536231885</v>
      </c>
    </row>
    <row r="51" spans="1:6" x14ac:dyDescent="0.35">
      <c r="A51" s="23"/>
      <c r="B51" s="185" t="s">
        <v>242</v>
      </c>
      <c r="C51" s="147" t="s">
        <v>46</v>
      </c>
      <c r="D51" s="142" t="s">
        <v>241</v>
      </c>
      <c r="E51" s="279">
        <v>300</v>
      </c>
      <c r="F51" s="310">
        <f>(E51/$B$28)/60</f>
        <v>3.3967391304347827</v>
      </c>
    </row>
    <row r="52" spans="1:6" x14ac:dyDescent="0.35">
      <c r="A52" s="23"/>
      <c r="B52" s="185" t="s">
        <v>141</v>
      </c>
      <c r="C52" s="147" t="s">
        <v>69</v>
      </c>
      <c r="D52" s="142"/>
      <c r="E52" s="279">
        <v>150</v>
      </c>
      <c r="F52" s="310">
        <f>(E52/$B$29)/60</f>
        <v>1.2820512820512819</v>
      </c>
    </row>
    <row r="53" spans="1:6" x14ac:dyDescent="0.35">
      <c r="A53" s="23"/>
      <c r="B53" s="185" t="s">
        <v>207</v>
      </c>
      <c r="C53" s="147" t="s">
        <v>69</v>
      </c>
      <c r="D53" s="207" t="s">
        <v>60</v>
      </c>
      <c r="E53" s="279">
        <v>30</v>
      </c>
      <c r="F53" s="310">
        <f>(E53/$B$29)/60</f>
        <v>0.25641025641025644</v>
      </c>
    </row>
    <row r="54" spans="1:6" x14ac:dyDescent="0.35">
      <c r="A54" s="23"/>
      <c r="B54" s="185" t="s">
        <v>80</v>
      </c>
      <c r="C54" s="147" t="s">
        <v>69</v>
      </c>
      <c r="D54" s="142"/>
      <c r="E54" s="279">
        <v>40</v>
      </c>
      <c r="F54" s="310">
        <f t="shared" si="0"/>
        <v>0.34188034188034189</v>
      </c>
    </row>
    <row r="55" spans="1:6" x14ac:dyDescent="0.35">
      <c r="A55" s="23"/>
      <c r="B55" s="185" t="s">
        <v>92</v>
      </c>
      <c r="C55" s="147" t="s">
        <v>69</v>
      </c>
      <c r="D55" s="142"/>
      <c r="E55" s="279">
        <v>30</v>
      </c>
      <c r="F55" s="310">
        <f t="shared" si="0"/>
        <v>0.25641025641025644</v>
      </c>
    </row>
    <row r="56" spans="1:6" x14ac:dyDescent="0.35">
      <c r="A56" s="23"/>
      <c r="B56" s="185" t="s">
        <v>160</v>
      </c>
      <c r="C56" s="147" t="s">
        <v>69</v>
      </c>
      <c r="D56" s="142"/>
      <c r="E56" s="279">
        <v>120</v>
      </c>
      <c r="F56" s="310">
        <f t="shared" si="0"/>
        <v>1.0256410256410258</v>
      </c>
    </row>
    <row r="57" spans="1:6" x14ac:dyDescent="0.35">
      <c r="A57" s="23"/>
      <c r="B57" s="185" t="s">
        <v>91</v>
      </c>
      <c r="C57" s="147" t="s">
        <v>69</v>
      </c>
      <c r="D57" s="142"/>
      <c r="E57" s="279">
        <v>80</v>
      </c>
      <c r="F57" s="310">
        <f t="shared" si="0"/>
        <v>0.68376068376068377</v>
      </c>
    </row>
    <row r="58" spans="1:6" x14ac:dyDescent="0.35">
      <c r="A58" s="23"/>
      <c r="B58" s="185" t="s">
        <v>176</v>
      </c>
      <c r="C58" s="147" t="s">
        <v>69</v>
      </c>
      <c r="D58" s="142"/>
      <c r="E58" s="279">
        <v>80</v>
      </c>
      <c r="F58" s="310">
        <f t="shared" ref="F58:F67" si="1">(E58/$B$29)/60</f>
        <v>0.68376068376068377</v>
      </c>
    </row>
    <row r="59" spans="1:6" x14ac:dyDescent="0.35">
      <c r="A59" s="23"/>
      <c r="B59" s="185" t="s">
        <v>178</v>
      </c>
      <c r="C59" s="147" t="s">
        <v>69</v>
      </c>
      <c r="D59" s="142"/>
      <c r="E59" s="279">
        <v>25</v>
      </c>
      <c r="F59" s="310">
        <f t="shared" si="1"/>
        <v>0.21367521367521369</v>
      </c>
    </row>
    <row r="60" spans="1:6" x14ac:dyDescent="0.35">
      <c r="A60" s="23"/>
      <c r="B60" s="185" t="s">
        <v>184</v>
      </c>
      <c r="C60" s="147" t="s">
        <v>46</v>
      </c>
      <c r="D60" s="142"/>
      <c r="E60" s="279">
        <v>10</v>
      </c>
      <c r="F60" s="310">
        <f t="shared" si="1"/>
        <v>8.5470085470085472E-2</v>
      </c>
    </row>
    <row r="61" spans="1:6" x14ac:dyDescent="0.35">
      <c r="A61" s="23"/>
      <c r="B61" s="185" t="s">
        <v>224</v>
      </c>
      <c r="C61" s="147" t="s">
        <v>69</v>
      </c>
      <c r="D61" s="142" t="s">
        <v>264</v>
      </c>
      <c r="E61" s="279">
        <v>10</v>
      </c>
      <c r="F61" s="310">
        <f t="shared" si="1"/>
        <v>8.5470085470085472E-2</v>
      </c>
    </row>
    <row r="62" spans="1:6" x14ac:dyDescent="0.35">
      <c r="A62" s="23"/>
      <c r="B62" s="91" t="s">
        <v>445</v>
      </c>
      <c r="C62" s="293" t="s">
        <v>69</v>
      </c>
      <c r="D62" s="142" t="e">
        <f>+'PROCESOS Baja'!#REF!</f>
        <v>#REF!</v>
      </c>
      <c r="E62" s="279" t="e">
        <f>+'PROCESOS Baja'!#REF!</f>
        <v>#REF!</v>
      </c>
      <c r="F62" s="310" t="e">
        <f>(E62/$B$29)/60</f>
        <v>#REF!</v>
      </c>
    </row>
    <row r="63" spans="1:6" x14ac:dyDescent="0.35">
      <c r="A63" s="23"/>
      <c r="B63" s="91" t="s">
        <v>446</v>
      </c>
      <c r="C63" s="293" t="s">
        <v>69</v>
      </c>
      <c r="D63" s="142" t="e">
        <f>+'PROCESOS Baja'!#REF!</f>
        <v>#REF!</v>
      </c>
      <c r="E63" s="279">
        <v>226</v>
      </c>
      <c r="F63" s="310">
        <f>(E63/$B$29)/60</f>
        <v>1.9316239316239316</v>
      </c>
    </row>
    <row r="64" spans="1:6" x14ac:dyDescent="0.35">
      <c r="A64" s="23" t="s">
        <v>78</v>
      </c>
      <c r="B64" s="42" t="s">
        <v>188</v>
      </c>
      <c r="C64" s="147" t="s">
        <v>69</v>
      </c>
      <c r="D64" s="142" t="str">
        <f>+'PROCESOS Baja'!F131</f>
        <v>REF_TRA_CAJ</v>
      </c>
      <c r="E64" s="279">
        <v>5</v>
      </c>
      <c r="F64" s="310">
        <f>(E64/$B$29)/60</f>
        <v>4.2735042735042736E-2</v>
      </c>
    </row>
    <row r="65" spans="1:7" x14ac:dyDescent="0.35">
      <c r="A65" s="23"/>
      <c r="B65" s="42" t="s">
        <v>192</v>
      </c>
      <c r="C65" s="147" t="s">
        <v>46</v>
      </c>
      <c r="D65" s="142" t="s">
        <v>253</v>
      </c>
      <c r="E65" s="279">
        <v>15</v>
      </c>
      <c r="F65" s="310">
        <f>(E65/$B$29)/60</f>
        <v>0.12820512820512822</v>
      </c>
    </row>
    <row r="66" spans="1:7" x14ac:dyDescent="0.35">
      <c r="A66" s="23"/>
      <c r="B66" s="42" t="s">
        <v>67</v>
      </c>
      <c r="C66" s="147" t="s">
        <v>69</v>
      </c>
      <c r="D66" s="142" t="s">
        <v>126</v>
      </c>
      <c r="E66" s="279">
        <v>100</v>
      </c>
      <c r="F66" s="310">
        <f t="shared" si="1"/>
        <v>0.85470085470085477</v>
      </c>
    </row>
    <row r="67" spans="1:7" x14ac:dyDescent="0.35">
      <c r="A67" s="23"/>
      <c r="B67" s="42" t="str">
        <f>+'PROCESOS Baja'!E132</f>
        <v>Desplazamiento desde el contenedor interno hasta la zona de Trasvase-Recepción</v>
      </c>
      <c r="C67" s="147" t="s">
        <v>69</v>
      </c>
      <c r="D67" s="142" t="str">
        <f>+'PROCESOS Baja'!F132</f>
        <v>REF_EXT_TRA</v>
      </c>
      <c r="E67" s="279">
        <v>20</v>
      </c>
      <c r="F67" s="310">
        <f t="shared" si="1"/>
        <v>0.17094017094017094</v>
      </c>
    </row>
    <row r="68" spans="1:7" x14ac:dyDescent="0.35">
      <c r="A68" s="23"/>
      <c r="B68" s="42"/>
      <c r="C68" s="147"/>
      <c r="D68" s="142"/>
      <c r="E68" s="279"/>
      <c r="F68" s="310">
        <f>(E68/$B$28)/60</f>
        <v>0</v>
      </c>
    </row>
    <row r="69" spans="1:7" x14ac:dyDescent="0.35">
      <c r="A69" s="23" t="s">
        <v>814</v>
      </c>
      <c r="B69" s="42" t="str">
        <f>+'PROCESOS Baja'!E158</f>
        <v>Desplazamiento desde montacargas hasta el almacén central</v>
      </c>
      <c r="C69" s="147" t="s">
        <v>69</v>
      </c>
      <c r="D69" s="433" t="str">
        <f>+'PROCESOS Baja'!F155</f>
        <v>ARM_ALM</v>
      </c>
      <c r="E69" s="279">
        <v>55</v>
      </c>
      <c r="F69" s="310">
        <f t="shared" ref="F69:F74" si="2">(E69/$B$29)/60</f>
        <v>0.47008547008547008</v>
      </c>
    </row>
    <row r="70" spans="1:7" x14ac:dyDescent="0.35">
      <c r="B70" s="42" t="s">
        <v>132</v>
      </c>
      <c r="C70" s="147" t="s">
        <v>69</v>
      </c>
      <c r="D70" s="142" t="s">
        <v>133</v>
      </c>
      <c r="E70" s="280">
        <v>30</v>
      </c>
      <c r="F70" s="310">
        <f t="shared" si="2"/>
        <v>0.25641025641025644</v>
      </c>
    </row>
    <row r="71" spans="1:7" x14ac:dyDescent="0.35">
      <c r="A71" s="23"/>
      <c r="B71" s="42" t="s">
        <v>1131</v>
      </c>
      <c r="C71" s="147" t="s">
        <v>69</v>
      </c>
      <c r="D71" s="142" t="s">
        <v>294</v>
      </c>
      <c r="E71" s="280">
        <v>100</v>
      </c>
      <c r="F71" s="310">
        <f t="shared" si="2"/>
        <v>0.85470085470085477</v>
      </c>
    </row>
    <row r="72" spans="1:7" x14ac:dyDescent="0.35">
      <c r="A72" s="23"/>
      <c r="B72" s="42" t="s">
        <v>1132</v>
      </c>
      <c r="C72" s="147" t="s">
        <v>69</v>
      </c>
      <c r="D72" s="142" t="s">
        <v>294</v>
      </c>
      <c r="E72" s="280">
        <v>100</v>
      </c>
      <c r="F72" s="310">
        <f t="shared" si="2"/>
        <v>0.85470085470085477</v>
      </c>
    </row>
    <row r="73" spans="1:7" x14ac:dyDescent="0.35">
      <c r="A73" s="23"/>
      <c r="B73" s="42" t="s">
        <v>514</v>
      </c>
      <c r="C73" s="147" t="s">
        <v>69</v>
      </c>
      <c r="D73" s="142" t="str">
        <f>+Volumenes!D102</f>
        <v>VIA_DES</v>
      </c>
      <c r="E73" s="280">
        <v>58</v>
      </c>
      <c r="F73" s="310">
        <f t="shared" si="2"/>
        <v>0.49572649572649574</v>
      </c>
    </row>
    <row r="74" spans="1:7" x14ac:dyDescent="0.35">
      <c r="A74" s="23"/>
      <c r="B74" s="42" t="s">
        <v>517</v>
      </c>
      <c r="C74" s="147" t="s">
        <v>69</v>
      </c>
      <c r="D74" s="142" t="str">
        <f>+Volumenes!D98</f>
        <v>CAJ_DES</v>
      </c>
      <c r="E74" s="280">
        <v>50</v>
      </c>
      <c r="F74" s="310">
        <f t="shared" si="2"/>
        <v>0.42735042735042739</v>
      </c>
      <c r="G74" s="2" t="s">
        <v>518</v>
      </c>
    </row>
    <row r="75" spans="1:7" x14ac:dyDescent="0.35">
      <c r="A75" s="23"/>
      <c r="B75" s="42" t="s">
        <v>137</v>
      </c>
      <c r="C75" s="147" t="s">
        <v>46</v>
      </c>
      <c r="D75" s="142" t="s">
        <v>138</v>
      </c>
      <c r="E75" s="280">
        <v>35</v>
      </c>
      <c r="F75" s="310">
        <f>(E75/$B$28)/60</f>
        <v>0.39628623188405798</v>
      </c>
    </row>
    <row r="76" spans="1:7" x14ac:dyDescent="0.35">
      <c r="A76" s="23"/>
      <c r="B76" s="42" t="s">
        <v>1133</v>
      </c>
      <c r="C76" s="147" t="s">
        <v>69</v>
      </c>
      <c r="D76" s="142" t="s">
        <v>198</v>
      </c>
      <c r="E76" s="280">
        <v>120</v>
      </c>
      <c r="F76" s="310">
        <f>(E76/$B$29)/60</f>
        <v>1.0256410256410258</v>
      </c>
    </row>
    <row r="77" spans="1:7" x14ac:dyDescent="0.35">
      <c r="A77" s="23"/>
      <c r="B77" s="42" t="s">
        <v>493</v>
      </c>
      <c r="C77" s="147" t="s">
        <v>69</v>
      </c>
      <c r="D77" s="142" t="str">
        <f>+Volumenes!D99</f>
        <v>DES_PAL_PIC</v>
      </c>
      <c r="E77" s="280">
        <v>40</v>
      </c>
      <c r="F77" s="310">
        <f>(E77/$B$29)/60</f>
        <v>0.34188034188034189</v>
      </c>
    </row>
    <row r="78" spans="1:7" x14ac:dyDescent="0.35">
      <c r="A78" s="23"/>
      <c r="B78" s="42" t="s">
        <v>494</v>
      </c>
      <c r="C78" s="147" t="s">
        <v>69</v>
      </c>
      <c r="D78" s="142" t="str">
        <f>+'PROCESOS Baja'!F175</f>
        <v>DES_PAL_PIC</v>
      </c>
      <c r="E78" s="280">
        <v>120</v>
      </c>
      <c r="F78" s="310">
        <f>(E78/$B$29)/60</f>
        <v>1.0256410256410258</v>
      </c>
    </row>
    <row r="79" spans="1:7" x14ac:dyDescent="0.35">
      <c r="A79" s="23" t="s">
        <v>97</v>
      </c>
      <c r="B79" s="42" t="s">
        <v>560</v>
      </c>
      <c r="C79" s="147" t="s">
        <v>69</v>
      </c>
      <c r="D79" s="250" t="str">
        <f>+Volumenes!D121</f>
        <v>SUM_PALLET</v>
      </c>
      <c r="E79" s="280">
        <v>265</v>
      </c>
      <c r="F79" s="310">
        <f>(E79/$B$29)/60</f>
        <v>2.2649572649572653</v>
      </c>
    </row>
    <row r="80" spans="1:7" x14ac:dyDescent="0.35">
      <c r="A80" s="23"/>
      <c r="B80" s="42" t="s">
        <v>574</v>
      </c>
      <c r="C80" s="147" t="s">
        <v>69</v>
      </c>
      <c r="D80" s="250" t="str">
        <f>+Volumenes!D120</f>
        <v>SUM_CAJ_L1-2</v>
      </c>
      <c r="E80" s="280">
        <v>26</v>
      </c>
      <c r="F80" s="310">
        <f>(E80/$B$28)/60</f>
        <v>0.29438405797101452</v>
      </c>
    </row>
    <row r="81" spans="1:6" x14ac:dyDescent="0.35">
      <c r="A81" s="23"/>
      <c r="B81" s="42" t="s">
        <v>368</v>
      </c>
      <c r="C81" s="147" t="s">
        <v>69</v>
      </c>
      <c r="D81" s="250" t="s">
        <v>367</v>
      </c>
      <c r="E81" s="280">
        <v>200</v>
      </c>
      <c r="F81" s="310">
        <f>(E81/$B$29)/60</f>
        <v>1.7094017094017095</v>
      </c>
    </row>
    <row r="82" spans="1:6" x14ac:dyDescent="0.35">
      <c r="A82" s="23"/>
      <c r="B82" s="42" t="s">
        <v>98</v>
      </c>
      <c r="C82" s="147" t="s">
        <v>46</v>
      </c>
      <c r="D82" s="142"/>
      <c r="E82" s="280">
        <v>50</v>
      </c>
      <c r="F82" s="310">
        <f>(E82/$B$28)/60</f>
        <v>0.56612318840579712</v>
      </c>
    </row>
    <row r="83" spans="1:6" x14ac:dyDescent="0.35">
      <c r="A83" s="23"/>
      <c r="B83" s="42" t="s">
        <v>101</v>
      </c>
      <c r="C83" s="147" t="s">
        <v>46</v>
      </c>
      <c r="D83" s="142"/>
      <c r="E83" s="279">
        <v>250</v>
      </c>
      <c r="F83" s="310">
        <f>(E83/$B$29)/60</f>
        <v>2.1367521367521367</v>
      </c>
    </row>
    <row r="84" spans="1:6" x14ac:dyDescent="0.35">
      <c r="A84" s="23"/>
      <c r="B84" s="42" t="s">
        <v>186</v>
      </c>
      <c r="C84" s="147" t="s">
        <v>46</v>
      </c>
      <c r="D84" s="142"/>
      <c r="E84" s="279">
        <v>120</v>
      </c>
      <c r="F84" s="310">
        <f t="shared" ref="F84:F88" si="3">(E84/$B$28)/60</f>
        <v>1.3586956521739131</v>
      </c>
    </row>
    <row r="85" spans="1:6" x14ac:dyDescent="0.35">
      <c r="A85" s="23"/>
      <c r="B85" s="42" t="s">
        <v>187</v>
      </c>
      <c r="C85" s="147" t="s">
        <v>46</v>
      </c>
      <c r="D85" s="142"/>
      <c r="E85" s="281">
        <v>140</v>
      </c>
      <c r="F85" s="310">
        <f t="shared" si="3"/>
        <v>1.5851449275362319</v>
      </c>
    </row>
    <row r="86" spans="1:6" x14ac:dyDescent="0.35">
      <c r="A86" s="23"/>
      <c r="B86" s="42" t="s">
        <v>1134</v>
      </c>
      <c r="C86" s="147" t="s">
        <v>46</v>
      </c>
      <c r="D86" s="142" t="s">
        <v>390</v>
      </c>
      <c r="E86" s="281">
        <v>40</v>
      </c>
      <c r="F86" s="310">
        <f t="shared" si="3"/>
        <v>0.45289855072463769</v>
      </c>
    </row>
    <row r="87" spans="1:6" x14ac:dyDescent="0.35">
      <c r="A87" s="23"/>
      <c r="B87" s="42" t="s">
        <v>1135</v>
      </c>
      <c r="C87" s="147" t="s">
        <v>46</v>
      </c>
      <c r="D87" s="142" t="s">
        <v>200</v>
      </c>
      <c r="E87" s="281">
        <v>100</v>
      </c>
      <c r="F87" s="310">
        <f t="shared" si="3"/>
        <v>1.1322463768115942</v>
      </c>
    </row>
    <row r="88" spans="1:6" x14ac:dyDescent="0.35">
      <c r="A88" s="23"/>
      <c r="B88" s="42" t="s">
        <v>1136</v>
      </c>
      <c r="C88" s="147" t="s">
        <v>46</v>
      </c>
      <c r="D88" s="147" t="s">
        <v>201</v>
      </c>
      <c r="E88" s="279">
        <v>40</v>
      </c>
      <c r="F88" s="310">
        <f t="shared" si="3"/>
        <v>0.45289855072463769</v>
      </c>
    </row>
    <row r="89" spans="1:6" x14ac:dyDescent="0.35">
      <c r="A89" s="23"/>
      <c r="B89" s="42" t="s">
        <v>1137</v>
      </c>
      <c r="C89" s="147" t="s">
        <v>46</v>
      </c>
      <c r="D89" s="147" t="s">
        <v>412</v>
      </c>
      <c r="E89" s="279">
        <v>110</v>
      </c>
      <c r="F89" s="310">
        <f t="shared" ref="F89" si="4">(E89/$B$28)/60</f>
        <v>1.2454710144927537</v>
      </c>
    </row>
    <row r="90" spans="1:6" x14ac:dyDescent="0.35">
      <c r="A90" s="23"/>
      <c r="B90" s="42" t="s">
        <v>413</v>
      </c>
      <c r="C90" s="147" t="s">
        <v>69</v>
      </c>
      <c r="D90" s="147" t="s">
        <v>410</v>
      </c>
      <c r="E90" s="279">
        <v>200</v>
      </c>
      <c r="F90" s="310">
        <f>(E90/$B$29)/60</f>
        <v>1.7094017094017095</v>
      </c>
    </row>
    <row r="91" spans="1:6" x14ac:dyDescent="0.35">
      <c r="A91" s="23"/>
      <c r="B91" s="42" t="s">
        <v>414</v>
      </c>
      <c r="C91" s="147" t="s">
        <v>69</v>
      </c>
      <c r="D91" s="147" t="s">
        <v>411</v>
      </c>
      <c r="E91" s="279">
        <v>100</v>
      </c>
      <c r="F91" s="310">
        <f>(E91/$B$29)/60</f>
        <v>0.85470085470085477</v>
      </c>
    </row>
    <row r="92" spans="1:6" x14ac:dyDescent="0.35">
      <c r="A92" s="23"/>
      <c r="B92" s="42" t="s">
        <v>415</v>
      </c>
      <c r="C92" s="147" t="s">
        <v>69</v>
      </c>
      <c r="D92" s="147"/>
      <c r="E92" s="279"/>
      <c r="F92" s="310"/>
    </row>
    <row r="93" spans="1:6" x14ac:dyDescent="0.35">
      <c r="A93" s="23"/>
      <c r="B93" s="42" t="s">
        <v>462</v>
      </c>
      <c r="C93" s="147" t="s">
        <v>69</v>
      </c>
      <c r="D93" s="147" t="s">
        <v>444</v>
      </c>
      <c r="E93" s="279">
        <v>116</v>
      </c>
      <c r="F93" s="310">
        <f t="shared" ref="F93:F101" si="5">(E93/$B$29)/60</f>
        <v>0.99145299145299148</v>
      </c>
    </row>
    <row r="94" spans="1:6" x14ac:dyDescent="0.35">
      <c r="A94" s="23"/>
      <c r="B94" s="42" t="str">
        <f>+'PROCESOS Baja'!E607</f>
        <v>Desplazamiento desde Dobladora hasta almacén normal</v>
      </c>
      <c r="C94" s="147" t="s">
        <v>69</v>
      </c>
      <c r="D94" s="88" t="s">
        <v>481</v>
      </c>
      <c r="E94" s="279">
        <v>125</v>
      </c>
      <c r="F94" s="310">
        <f t="shared" si="5"/>
        <v>1.0683760683760684</v>
      </c>
    </row>
    <row r="95" spans="1:6" x14ac:dyDescent="0.35">
      <c r="A95" s="23"/>
      <c r="B95" s="42" t="s">
        <v>485</v>
      </c>
      <c r="C95" s="147" t="s">
        <v>69</v>
      </c>
      <c r="D95" s="88" t="str">
        <f>+D94</f>
        <v>CHA_MUL_3D</v>
      </c>
      <c r="E95" s="279">
        <v>43</v>
      </c>
      <c r="F95" s="310">
        <f t="shared" si="5"/>
        <v>0.36752136752136749</v>
      </c>
    </row>
    <row r="96" spans="1:6" x14ac:dyDescent="0.35">
      <c r="A96" s="23"/>
      <c r="B96" s="42" t="s">
        <v>580</v>
      </c>
      <c r="C96" s="147" t="s">
        <v>69</v>
      </c>
      <c r="D96" s="88" t="str">
        <f>+Volumenes!D46</f>
        <v>CHA_SUM</v>
      </c>
      <c r="E96" s="279">
        <v>320</v>
      </c>
      <c r="F96" s="310">
        <f t="shared" si="5"/>
        <v>2.7350427350427351</v>
      </c>
    </row>
    <row r="97" spans="1:6" x14ac:dyDescent="0.35">
      <c r="A97" s="23"/>
      <c r="B97" s="42" t="s">
        <v>593</v>
      </c>
      <c r="C97" s="147" t="s">
        <v>69</v>
      </c>
      <c r="D97" s="88" t="str">
        <f>+Volumenes!D181</f>
        <v>CHI_GRA_SUM</v>
      </c>
      <c r="E97" s="279">
        <v>110</v>
      </c>
      <c r="F97" s="310">
        <f t="shared" si="5"/>
        <v>0.94017094017094016</v>
      </c>
    </row>
    <row r="98" spans="1:6" x14ac:dyDescent="0.35">
      <c r="A98" s="23"/>
      <c r="B98" s="42" t="s">
        <v>603</v>
      </c>
      <c r="C98" s="147" t="s">
        <v>69</v>
      </c>
      <c r="D98" s="88" t="str">
        <f>+Volumenes!D183</f>
        <v>CHI_VAC_REC</v>
      </c>
      <c r="E98" s="279">
        <v>115</v>
      </c>
      <c r="F98" s="310">
        <f t="shared" si="5"/>
        <v>0.98290598290598297</v>
      </c>
    </row>
    <row r="99" spans="1:6" x14ac:dyDescent="0.35">
      <c r="A99" s="23"/>
      <c r="B99" s="42" t="s">
        <v>605</v>
      </c>
      <c r="C99" s="147" t="s">
        <v>69</v>
      </c>
      <c r="D99" s="88" t="s">
        <v>604</v>
      </c>
      <c r="E99" s="279">
        <v>190</v>
      </c>
      <c r="F99" s="310">
        <f t="shared" si="5"/>
        <v>1.6239316239316242</v>
      </c>
    </row>
    <row r="100" spans="1:6" x14ac:dyDescent="0.35">
      <c r="A100" s="23"/>
      <c r="B100" s="42" t="s">
        <v>612</v>
      </c>
      <c r="C100" s="147" t="s">
        <v>69</v>
      </c>
      <c r="D100" s="88" t="str">
        <f>+Volumenes!D180</f>
        <v>CHI_SUM_L3</v>
      </c>
      <c r="E100" s="279">
        <v>155</v>
      </c>
      <c r="F100" s="310">
        <f t="shared" si="5"/>
        <v>1.3247863247863247</v>
      </c>
    </row>
    <row r="101" spans="1:6" x14ac:dyDescent="0.35">
      <c r="A101" s="23"/>
      <c r="B101" s="42" t="s">
        <v>668</v>
      </c>
      <c r="C101" s="147" t="s">
        <v>69</v>
      </c>
      <c r="D101" s="88" t="str">
        <f>+Volumenes!D163</f>
        <v>SUM_CARRO_L1</v>
      </c>
      <c r="E101" s="279">
        <v>8</v>
      </c>
      <c r="F101" s="310">
        <f t="shared" si="5"/>
        <v>6.8376068376068383E-2</v>
      </c>
    </row>
    <row r="102" spans="1:6" x14ac:dyDescent="0.35">
      <c r="A102" s="23"/>
      <c r="B102" s="42" t="s">
        <v>1138</v>
      </c>
      <c r="C102" s="147" t="s">
        <v>46</v>
      </c>
      <c r="D102" s="88" t="str">
        <f>+Volumenes!D161</f>
        <v>CAR_SUM_L1</v>
      </c>
      <c r="E102" s="279">
        <v>22</v>
      </c>
      <c r="F102" s="310">
        <f t="shared" ref="F102:F104" si="6">(E102/$B$28)/60</f>
        <v>0.24909420289855072</v>
      </c>
    </row>
    <row r="103" spans="1:6" x14ac:dyDescent="0.35">
      <c r="A103" s="23"/>
      <c r="B103" s="42" t="str">
        <f>+'PROCESOS Baja'!E400</f>
        <v>Desplazamiento desde premontaje hasta zona de madera (ida y vuelta)</v>
      </c>
      <c r="C103" s="147" t="s">
        <v>69</v>
      </c>
      <c r="D103" s="392" t="str">
        <f>+Volumenes!D197</f>
        <v>BUL_MAD_L1</v>
      </c>
      <c r="E103" s="279">
        <v>405</v>
      </c>
      <c r="F103" s="310">
        <f>(E103/$B$29)/60</f>
        <v>3.4615384615384617</v>
      </c>
    </row>
    <row r="104" spans="1:6" x14ac:dyDescent="0.35">
      <c r="A104" s="23"/>
      <c r="B104" s="42" t="str">
        <f>+'PROCESOS Baja'!E459</f>
        <v>Desplazamiento a la primera ubicación para coger la pieza SAT</v>
      </c>
      <c r="C104" s="147" t="s">
        <v>69</v>
      </c>
      <c r="D104" s="392" t="str">
        <f>+Volumenes!D206</f>
        <v>SAT_REC</v>
      </c>
      <c r="E104" s="279">
        <v>950</v>
      </c>
      <c r="F104" s="310">
        <f t="shared" si="6"/>
        <v>10.756340579710146</v>
      </c>
    </row>
    <row r="105" spans="1:6" x14ac:dyDescent="0.35">
      <c r="A105" s="23"/>
      <c r="B105" s="42" t="str">
        <f>+'PROCESOS Baja'!E420</f>
        <v>Desplazamiento desde el almacén automático hasta Armazones</v>
      </c>
      <c r="C105" s="147" t="s">
        <v>69</v>
      </c>
      <c r="D105" s="418" t="str">
        <f>+Volumenes!D203</f>
        <v>ARM_BAJ</v>
      </c>
      <c r="E105" s="279">
        <v>185</v>
      </c>
      <c r="F105" s="423">
        <f t="shared" ref="F105:F108" si="7">(E105/$B$29)/60</f>
        <v>1.5811965811965814</v>
      </c>
    </row>
    <row r="106" spans="1:6" x14ac:dyDescent="0.35">
      <c r="B106" s="2" t="str">
        <f>+'PROCESOS Baja'!E427</f>
        <v>Desplazamiento desde armazones hasta las estanterias exteriores</v>
      </c>
      <c r="C106" s="147" t="s">
        <v>69</v>
      </c>
      <c r="D106" s="419" t="str">
        <f>+Volumenes!D204</f>
        <v>ARM_BAJ_MAQ</v>
      </c>
      <c r="E106" s="279">
        <v>200</v>
      </c>
      <c r="F106" s="423">
        <f t="shared" si="7"/>
        <v>1.7094017094017095</v>
      </c>
    </row>
    <row r="107" spans="1:6" x14ac:dyDescent="0.35">
      <c r="B107" s="2" t="str">
        <f>+'PROCESOS Baja'!E481</f>
        <v>Desplazamiento desde la línea hasta el elevador</v>
      </c>
      <c r="C107" s="147" t="s">
        <v>69</v>
      </c>
      <c r="D107" s="419" t="str">
        <f>+Volumenes!D24</f>
        <v>MAQ_ELE</v>
      </c>
      <c r="E107" s="421">
        <v>37</v>
      </c>
      <c r="F107" s="423">
        <f t="shared" si="7"/>
        <v>0.31623931623931623</v>
      </c>
    </row>
    <row r="108" spans="1:6" x14ac:dyDescent="0.35">
      <c r="B108" s="2" t="str">
        <f>+'PROCESOS Baja'!E495</f>
        <v>Desplazamientos hasta los zócalos/KITs</v>
      </c>
      <c r="C108" s="147" t="s">
        <v>69</v>
      </c>
      <c r="D108" s="419" t="str">
        <f>+Volumenes!D214</f>
        <v>ZOC_ELE</v>
      </c>
      <c r="E108" s="421">
        <v>50</v>
      </c>
      <c r="F108" s="423">
        <f t="shared" si="7"/>
        <v>0.42735042735042739</v>
      </c>
    </row>
    <row r="109" spans="1:6" x14ac:dyDescent="0.35">
      <c r="B109" s="2" t="str">
        <f>+'PROCESOS Baja'!E521</f>
        <v>Desplazamiento desde mecanizado L1/L2 hasta almacén central</v>
      </c>
      <c r="C109" s="147" t="s">
        <v>69</v>
      </c>
      <c r="D109" s="419" t="str">
        <f>+Volumenes!D216</f>
        <v>CAR_ENV</v>
      </c>
      <c r="E109" s="421">
        <v>115</v>
      </c>
      <c r="F109" s="423">
        <f>(E109/$B$29)/60</f>
        <v>0.98290598290598297</v>
      </c>
    </row>
    <row r="110" spans="1:6" x14ac:dyDescent="0.35">
      <c r="C110" s="147"/>
      <c r="D110" s="419"/>
      <c r="E110" s="421"/>
      <c r="F110" s="423"/>
    </row>
    <row r="111" spans="1:6" x14ac:dyDescent="0.35">
      <c r="A111" s="2" t="s">
        <v>761</v>
      </c>
      <c r="B111" s="2" t="str">
        <f>+'PROCESOS Baja'!E468</f>
        <v>Desplazamiento desde esa ubicación hasta el compactador</v>
      </c>
      <c r="C111" s="147" t="s">
        <v>69</v>
      </c>
      <c r="D111" s="419" t="str">
        <f>+'PROCESOS Baja'!F468</f>
        <v>REC_CAR</v>
      </c>
      <c r="E111" s="421">
        <v>340</v>
      </c>
      <c r="F111" s="423">
        <f t="shared" ref="F111:F114" si="8">(E111/$B$29)/60</f>
        <v>2.9059829059829059</v>
      </c>
    </row>
    <row r="112" spans="1:6" x14ac:dyDescent="0.35">
      <c r="B112" s="2" t="str">
        <f>+'PROCESOS Baja'!E473</f>
        <v>Desplazamiento desde harrera hasta compactador</v>
      </c>
      <c r="C112" s="147" t="s">
        <v>69</v>
      </c>
      <c r="D112" s="419" t="str">
        <f>+Volumenes!D213</f>
        <v>CAR_HAR</v>
      </c>
      <c r="E112" s="43">
        <v>220</v>
      </c>
      <c r="F112" s="423">
        <f t="shared" si="8"/>
        <v>1.8803418803418803</v>
      </c>
    </row>
    <row r="113" spans="1:6" x14ac:dyDescent="0.35">
      <c r="A113" s="2" t="s">
        <v>830</v>
      </c>
      <c r="B113" s="2" t="str">
        <f>+'PROCESOS Baja'!E47</f>
        <v>Desplazamiento desde Recepciones hasta Tubos (ida y vuelta)</v>
      </c>
      <c r="C113" s="43" t="str">
        <f>+C112</f>
        <v>MAQ</v>
      </c>
      <c r="D113" s="419" t="str">
        <f>+Volumenes!D217</f>
        <v>REC_TUB</v>
      </c>
      <c r="E113" s="43">
        <v>150</v>
      </c>
      <c r="F113" s="423">
        <f t="shared" si="8"/>
        <v>1.2820512820512819</v>
      </c>
    </row>
    <row r="114" spans="1:6" x14ac:dyDescent="0.35">
      <c r="B114" s="2" t="str">
        <f>+'PROCESOS Baja'!E531</f>
        <v>Desplazamiento entre Tubos y montacargas</v>
      </c>
      <c r="C114" s="43" t="str">
        <f t="shared" ref="C114:C115" si="9">+C113</f>
        <v>MAQ</v>
      </c>
      <c r="D114" s="419" t="str">
        <f>+Volumenes!D219</f>
        <v>TUB_PT</v>
      </c>
      <c r="E114" s="43">
        <v>92</v>
      </c>
      <c r="F114" s="423">
        <f t="shared" si="8"/>
        <v>0.78632478632478642</v>
      </c>
    </row>
    <row r="115" spans="1:6" x14ac:dyDescent="0.35">
      <c r="B115" s="2" t="str">
        <f>+'PROCESOS Baja'!E534</f>
        <v>Desplazamiento entre Tubos y Recepciones</v>
      </c>
      <c r="C115" s="43" t="str">
        <f t="shared" si="9"/>
        <v>MAQ</v>
      </c>
      <c r="D115" s="419" t="str">
        <f>+Volumenes!D218</f>
        <v>TUB_SAN</v>
      </c>
      <c r="E115" s="43">
        <v>150</v>
      </c>
      <c r="F115" s="423">
        <f>(E115/$B$29)/60</f>
        <v>1.2820512820512819</v>
      </c>
    </row>
    <row r="116" spans="1:6" x14ac:dyDescent="0.35">
      <c r="A116" s="2" t="s">
        <v>355</v>
      </c>
      <c r="B116" s="104" t="s">
        <v>865</v>
      </c>
      <c r="C116" s="43" t="s">
        <v>69</v>
      </c>
      <c r="D116" s="419" t="str">
        <f>+Volumenes!D209</f>
        <v>CAJ_SAT_1</v>
      </c>
      <c r="E116" s="43">
        <f>58*2</f>
        <v>116</v>
      </c>
      <c r="F116" s="423">
        <f>(E116/$B$29)/60</f>
        <v>0.99145299145299148</v>
      </c>
    </row>
    <row r="118" spans="1:6" x14ac:dyDescent="0.35">
      <c r="B118" s="2" t="s">
        <v>889</v>
      </c>
      <c r="C118" s="2" t="s">
        <v>69</v>
      </c>
      <c r="D118" s="43" t="str">
        <f>+Volumenes!D41</f>
        <v>BUL_VAC</v>
      </c>
      <c r="E118" s="43">
        <v>10</v>
      </c>
      <c r="F118" s="423">
        <f>(E118/$B$29)/60</f>
        <v>8.5470085470085472E-2</v>
      </c>
    </row>
  </sheetData>
  <phoneticPr fontId="37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C327F-6D7F-415F-8552-E84ABCA29DF7}">
  <sheetPr>
    <pageSetUpPr fitToPage="1"/>
  </sheetPr>
  <dimension ref="A1:K816"/>
  <sheetViews>
    <sheetView topLeftCell="A208" zoomScaleNormal="100" workbookViewId="0">
      <selection activeCell="B232" sqref="B232"/>
    </sheetView>
  </sheetViews>
  <sheetFormatPr baseColWidth="10" defaultColWidth="11.3984375" defaultRowHeight="12.75" x14ac:dyDescent="0.35"/>
  <cols>
    <col min="1" max="1" width="15.265625" style="45" customWidth="1"/>
    <col min="2" max="2" width="76" style="45" customWidth="1"/>
    <col min="3" max="3" width="10.265625" style="45" customWidth="1"/>
    <col min="4" max="4" width="19.1328125" style="44" customWidth="1"/>
    <col min="5" max="5" width="11.1328125" style="45" customWidth="1"/>
    <col min="6" max="7" width="13.3984375" style="45" customWidth="1"/>
    <col min="8" max="8" width="11.59765625" style="45" customWidth="1"/>
    <col min="9" max="16384" width="11.3984375" style="45"/>
  </cols>
  <sheetData>
    <row r="1" spans="2:10" ht="15" customHeight="1" x14ac:dyDescent="0.35">
      <c r="B1" s="44"/>
      <c r="C1" s="44"/>
    </row>
    <row r="2" spans="2:10" ht="20.65" x14ac:dyDescent="0.6">
      <c r="B2" s="46" t="s">
        <v>26</v>
      </c>
      <c r="C2" s="46"/>
    </row>
    <row r="3" spans="2:10" ht="20.65" x14ac:dyDescent="0.6">
      <c r="B3" s="46"/>
      <c r="C3" s="46"/>
    </row>
    <row r="4" spans="2:10" ht="15" customHeight="1" x14ac:dyDescent="0.4">
      <c r="B4" s="47"/>
      <c r="C4" s="47"/>
      <c r="D4" s="52">
        <v>2020</v>
      </c>
      <c r="E4" s="52">
        <v>2024</v>
      </c>
      <c r="F4" s="374" t="s">
        <v>1010</v>
      </c>
      <c r="G4" s="609" t="s">
        <v>1011</v>
      </c>
    </row>
    <row r="5" spans="2:10" ht="15" customHeight="1" x14ac:dyDescent="0.35">
      <c r="B5" s="187" t="s">
        <v>629</v>
      </c>
      <c r="C5" s="187"/>
      <c r="D5" s="44">
        <v>45.16</v>
      </c>
      <c r="E5" s="44">
        <v>53.7</v>
      </c>
      <c r="F5" s="375">
        <v>44</v>
      </c>
      <c r="G5" s="673">
        <f>+'[2]capacidad lineas'!$H$10</f>
        <v>60</v>
      </c>
      <c r="J5" s="683"/>
    </row>
    <row r="6" spans="2:10" ht="15" customHeight="1" x14ac:dyDescent="0.35">
      <c r="B6" s="187" t="s">
        <v>630</v>
      </c>
      <c r="C6" s="187"/>
      <c r="D6" s="153">
        <f>1214/212</f>
        <v>5.7264150943396226</v>
      </c>
      <c r="E6" s="153">
        <f>+[3]Hoja1!$K$19+[3]Hoja1!$K$27</f>
        <v>5.8137962264150929</v>
      </c>
      <c r="F6" s="375">
        <v>18</v>
      </c>
      <c r="G6" s="673">
        <f>+'[2]capacidad lineas'!$I$19</f>
        <v>20</v>
      </c>
      <c r="J6" s="683"/>
    </row>
    <row r="7" spans="2:10" ht="15" customHeight="1" x14ac:dyDescent="0.35">
      <c r="B7" s="187" t="s">
        <v>631</v>
      </c>
      <c r="C7" s="187"/>
      <c r="D7" s="153"/>
      <c r="E7" s="153"/>
      <c r="F7" s="375">
        <v>1</v>
      </c>
      <c r="G7" s="673">
        <v>2</v>
      </c>
      <c r="J7" s="683"/>
    </row>
    <row r="8" spans="2:10" ht="15" customHeight="1" x14ac:dyDescent="0.4">
      <c r="B8" s="187" t="s">
        <v>163</v>
      </c>
      <c r="C8" s="187"/>
      <c r="D8" s="186">
        <f>+D5+D6</f>
        <v>50.886415094339618</v>
      </c>
      <c r="E8" s="186">
        <f>+E5+E6</f>
        <v>59.513796226415096</v>
      </c>
      <c r="F8" s="376">
        <f>SUM(F5:F7)</f>
        <v>63</v>
      </c>
      <c r="G8" s="376">
        <f>SUM(G5:G7)</f>
        <v>82</v>
      </c>
    </row>
    <row r="9" spans="2:10" ht="12" customHeight="1" x14ac:dyDescent="0.4">
      <c r="B9" s="48"/>
      <c r="C9" s="48"/>
      <c r="D9" s="153"/>
    </row>
    <row r="10" spans="2:10" ht="15" customHeight="1" x14ac:dyDescent="0.4">
      <c r="B10" s="48" t="s">
        <v>27</v>
      </c>
      <c r="C10" s="48"/>
    </row>
    <row r="11" spans="2:10" ht="15" customHeight="1" x14ac:dyDescent="0.4">
      <c r="B11" s="48"/>
      <c r="C11" s="48"/>
    </row>
    <row r="12" spans="2:10" ht="15" customHeight="1" x14ac:dyDescent="0.4">
      <c r="B12" s="48" t="s">
        <v>328</v>
      </c>
      <c r="C12" s="48"/>
    </row>
    <row r="13" spans="2:10" ht="15" customHeight="1" x14ac:dyDescent="0.35">
      <c r="B13" s="53" t="s">
        <v>329</v>
      </c>
      <c r="C13" s="241" t="s">
        <v>327</v>
      </c>
    </row>
    <row r="14" spans="2:10" ht="15" customHeight="1" x14ac:dyDescent="0.35">
      <c r="B14" s="54" t="s">
        <v>330</v>
      </c>
      <c r="C14" s="207" t="s">
        <v>333</v>
      </c>
    </row>
    <row r="15" spans="2:10" ht="15" customHeight="1" x14ac:dyDescent="0.35">
      <c r="B15" s="54" t="s">
        <v>331</v>
      </c>
      <c r="C15" s="207" t="s">
        <v>335</v>
      </c>
    </row>
    <row r="16" spans="2:10" ht="15" customHeight="1" x14ac:dyDescent="0.35">
      <c r="B16" s="227" t="s">
        <v>332</v>
      </c>
      <c r="C16" s="242" t="s">
        <v>334</v>
      </c>
    </row>
    <row r="17" spans="2:10" ht="15" customHeight="1" x14ac:dyDescent="0.35">
      <c r="B17" s="63"/>
      <c r="C17" s="63"/>
    </row>
    <row r="18" spans="2:10" ht="18" customHeight="1" x14ac:dyDescent="0.4">
      <c r="B18" s="47"/>
      <c r="C18" s="47"/>
      <c r="D18" s="254"/>
      <c r="E18" s="607"/>
      <c r="F18" s="608"/>
      <c r="G18" s="608"/>
      <c r="H18" s="608"/>
    </row>
    <row r="19" spans="2:10" ht="15" customHeight="1" x14ac:dyDescent="0.4">
      <c r="B19" s="49" t="s">
        <v>28</v>
      </c>
      <c r="C19" s="50" t="s">
        <v>441</v>
      </c>
      <c r="D19" s="50" t="s">
        <v>29</v>
      </c>
      <c r="E19" s="50">
        <v>2020</v>
      </c>
      <c r="F19" s="637" t="s">
        <v>1010</v>
      </c>
      <c r="G19" s="636" t="s">
        <v>1011</v>
      </c>
      <c r="H19" s="50"/>
    </row>
    <row r="20" spans="2:10" ht="15" customHeight="1" x14ac:dyDescent="0.35">
      <c r="B20" s="53" t="s">
        <v>62</v>
      </c>
      <c r="C20" s="287"/>
      <c r="D20" s="87"/>
      <c r="E20" s="130"/>
      <c r="F20" s="148"/>
      <c r="G20" s="638"/>
      <c r="H20" s="251"/>
    </row>
    <row r="21" spans="2:10" ht="15" customHeight="1" x14ac:dyDescent="0.35">
      <c r="B21" s="54" t="s">
        <v>771</v>
      </c>
      <c r="C21" s="288"/>
      <c r="D21" s="88" t="s">
        <v>774</v>
      </c>
      <c r="E21" s="131"/>
      <c r="F21" s="145">
        <f t="shared" ref="F21:G23" si="0">+F5</f>
        <v>44</v>
      </c>
      <c r="G21" s="674">
        <f t="shared" si="0"/>
        <v>60</v>
      </c>
      <c r="H21" s="55"/>
    </row>
    <row r="22" spans="2:10" ht="15" customHeight="1" x14ac:dyDescent="0.35">
      <c r="B22" s="54" t="s">
        <v>772</v>
      </c>
      <c r="C22" s="288"/>
      <c r="D22" s="88" t="s">
        <v>775</v>
      </c>
      <c r="E22" s="131"/>
      <c r="F22" s="145">
        <f t="shared" si="0"/>
        <v>18</v>
      </c>
      <c r="G22" s="674">
        <f t="shared" si="0"/>
        <v>20</v>
      </c>
      <c r="H22" s="55"/>
    </row>
    <row r="23" spans="2:10" ht="15" customHeight="1" x14ac:dyDescent="0.35">
      <c r="B23" s="54" t="s">
        <v>773</v>
      </c>
      <c r="C23" s="288"/>
      <c r="D23" s="88" t="s">
        <v>776</v>
      </c>
      <c r="E23" s="131"/>
      <c r="F23" s="145">
        <f t="shared" si="0"/>
        <v>1</v>
      </c>
      <c r="G23" s="674">
        <f t="shared" si="0"/>
        <v>2</v>
      </c>
      <c r="H23" s="55"/>
    </row>
    <row r="24" spans="2:10" ht="15" customHeight="1" x14ac:dyDescent="0.35">
      <c r="B24" s="54" t="s">
        <v>777</v>
      </c>
      <c r="C24" s="288"/>
      <c r="D24" s="88" t="s">
        <v>778</v>
      </c>
      <c r="E24" s="131"/>
      <c r="F24" s="145">
        <f>+F22+1</f>
        <v>19</v>
      </c>
      <c r="G24" s="674">
        <f>+G22+1</f>
        <v>21</v>
      </c>
      <c r="H24" s="55"/>
    </row>
    <row r="25" spans="2:10" ht="15" customHeight="1" x14ac:dyDescent="0.35">
      <c r="B25" s="55" t="s">
        <v>1100</v>
      </c>
      <c r="C25" s="248"/>
      <c r="D25" s="88" t="s">
        <v>110</v>
      </c>
      <c r="E25" s="131">
        <v>10</v>
      </c>
      <c r="F25" s="150">
        <f>+(E25*E5)/D5</f>
        <v>11.891054030115146</v>
      </c>
      <c r="G25" s="675">
        <f>+(E25*E5)/D5</f>
        <v>11.891054030115146</v>
      </c>
      <c r="H25" s="55"/>
    </row>
    <row r="26" spans="2:10" ht="15" customHeight="1" x14ac:dyDescent="0.35">
      <c r="B26" s="55" t="s">
        <v>1101</v>
      </c>
      <c r="C26" s="248"/>
      <c r="D26" s="88" t="s">
        <v>204</v>
      </c>
      <c r="E26" s="131">
        <v>4</v>
      </c>
      <c r="F26" s="159">
        <f>+E26</f>
        <v>4</v>
      </c>
      <c r="G26" s="674">
        <v>4</v>
      </c>
      <c r="H26" s="55"/>
    </row>
    <row r="27" spans="2:10" ht="15" customHeight="1" x14ac:dyDescent="0.35">
      <c r="B27" s="55" t="s">
        <v>1102</v>
      </c>
      <c r="C27" s="248"/>
      <c r="D27" s="88" t="s">
        <v>241</v>
      </c>
      <c r="E27" s="131">
        <f>+E26</f>
        <v>4</v>
      </c>
      <c r="F27" s="159">
        <f>+F26</f>
        <v>4</v>
      </c>
      <c r="G27" s="674">
        <v>4</v>
      </c>
      <c r="H27" s="55"/>
    </row>
    <row r="28" spans="2:10" ht="15" customHeight="1" x14ac:dyDescent="0.35">
      <c r="B28" s="54" t="s">
        <v>1103</v>
      </c>
      <c r="C28" s="288"/>
      <c r="D28" s="88" t="s">
        <v>156</v>
      </c>
      <c r="E28" s="192"/>
      <c r="F28" s="145">
        <v>2</v>
      </c>
      <c r="G28" s="674">
        <v>2</v>
      </c>
      <c r="H28" s="55"/>
      <c r="J28" s="492">
        <f>+(G8-F8)/F8</f>
        <v>0.30158730158730157</v>
      </c>
    </row>
    <row r="29" spans="2:10" ht="15" customHeight="1" x14ac:dyDescent="0.35">
      <c r="B29" s="54" t="s">
        <v>419</v>
      </c>
      <c r="C29" s="288"/>
      <c r="D29" s="88" t="s">
        <v>422</v>
      </c>
      <c r="E29" s="192"/>
      <c r="F29" s="145">
        <v>0.5</v>
      </c>
      <c r="G29" s="674">
        <v>0.5</v>
      </c>
      <c r="H29" s="55"/>
    </row>
    <row r="30" spans="2:10" ht="15" customHeight="1" x14ac:dyDescent="0.35">
      <c r="B30" s="54" t="s">
        <v>1099</v>
      </c>
      <c r="C30" s="288"/>
      <c r="D30" s="88"/>
      <c r="E30" s="193">
        <f>+E31+E34+E32</f>
        <v>499.5</v>
      </c>
      <c r="F30" s="145"/>
      <c r="G30" s="674"/>
      <c r="H30" s="55"/>
    </row>
    <row r="31" spans="2:10" ht="15" customHeight="1" x14ac:dyDescent="0.4">
      <c r="B31" s="54" t="s">
        <v>164</v>
      </c>
      <c r="C31" s="288"/>
      <c r="D31" s="88"/>
      <c r="E31" s="218">
        <v>350.51</v>
      </c>
      <c r="F31" s="420">
        <v>148.69999999999999</v>
      </c>
      <c r="G31" s="682">
        <f>(F31*(($G$8-$F$8)/$F$8))+F31</f>
        <v>193.54603174603173</v>
      </c>
      <c r="H31" s="55"/>
      <c r="I31" s="165" t="s">
        <v>958</v>
      </c>
    </row>
    <row r="32" spans="2:10" ht="15" customHeight="1" x14ac:dyDescent="0.35">
      <c r="B32" s="54" t="s">
        <v>166</v>
      </c>
      <c r="C32" s="288" t="s">
        <v>877</v>
      </c>
      <c r="D32" s="88" t="s">
        <v>139</v>
      </c>
      <c r="E32" s="204">
        <v>58.99</v>
      </c>
      <c r="F32" s="190">
        <v>34.08</v>
      </c>
      <c r="G32" s="681">
        <f>(F32*(($G$8-$F$8)/$F$8))+F32</f>
        <v>44.358095238095231</v>
      </c>
      <c r="H32" s="252"/>
      <c r="I32" s="165" t="s">
        <v>915</v>
      </c>
    </row>
    <row r="33" spans="2:9" ht="15" customHeight="1" x14ac:dyDescent="0.35">
      <c r="B33" s="54" t="s">
        <v>420</v>
      </c>
      <c r="C33" s="288" t="s">
        <v>877</v>
      </c>
      <c r="D33" s="88" t="s">
        <v>421</v>
      </c>
      <c r="E33" s="204"/>
      <c r="F33" s="188">
        <f>+F32</f>
        <v>34.08</v>
      </c>
      <c r="G33" s="674"/>
      <c r="H33" s="252"/>
      <c r="I33" s="165"/>
    </row>
    <row r="34" spans="2:9" ht="15" customHeight="1" x14ac:dyDescent="0.35">
      <c r="B34" s="54" t="s">
        <v>1104</v>
      </c>
      <c r="C34" s="288" t="s">
        <v>442</v>
      </c>
      <c r="D34" s="88" t="s">
        <v>369</v>
      </c>
      <c r="E34" s="173">
        <v>90</v>
      </c>
      <c r="F34" s="474">
        <f>+(E34*$E$8)/$D$8</f>
        <v>105.25877388783012</v>
      </c>
      <c r="G34" s="681">
        <f>(F34*(($G$8-$F$8)/$F$8))+F34</f>
        <v>137.00348347304873</v>
      </c>
      <c r="H34" s="252"/>
      <c r="I34" s="165" t="s">
        <v>439</v>
      </c>
    </row>
    <row r="35" spans="2:9" ht="15" customHeight="1" x14ac:dyDescent="0.35">
      <c r="B35" s="54" t="s">
        <v>1105</v>
      </c>
      <c r="C35" s="288" t="s">
        <v>442</v>
      </c>
      <c r="D35" s="88" t="s">
        <v>370</v>
      </c>
      <c r="E35" s="189">
        <v>15</v>
      </c>
      <c r="F35" s="188">
        <f>+(E35*$E$8)/$D$8</f>
        <v>17.543128981305017</v>
      </c>
      <c r="G35" s="681">
        <f>(F35*(($G$8-$F$8)/$F$8))+F35</f>
        <v>22.833913912174783</v>
      </c>
      <c r="H35" s="252"/>
      <c r="I35" s="165" t="s">
        <v>440</v>
      </c>
    </row>
    <row r="36" spans="2:9" ht="15" customHeight="1" x14ac:dyDescent="0.35">
      <c r="B36" s="54" t="s">
        <v>1106</v>
      </c>
      <c r="C36" s="288" t="s">
        <v>442</v>
      </c>
      <c r="D36" s="88" t="s">
        <v>388</v>
      </c>
      <c r="E36" s="189">
        <f>+E34-E35</f>
        <v>75</v>
      </c>
      <c r="F36" s="188">
        <f>+(E36*$E$8)/$D$8</f>
        <v>87.715644906525085</v>
      </c>
      <c r="G36" s="681">
        <f>(F36*(($G$8-$F$8)/$F$8))+F36</f>
        <v>114.16956956087392</v>
      </c>
      <c r="H36" s="252"/>
      <c r="I36" s="165"/>
    </row>
    <row r="37" spans="2:9" ht="15" customHeight="1" x14ac:dyDescent="0.35">
      <c r="B37" s="54" t="s">
        <v>1107</v>
      </c>
      <c r="C37" s="288" t="s">
        <v>442</v>
      </c>
      <c r="D37" s="88" t="s">
        <v>443</v>
      </c>
      <c r="E37" s="189"/>
      <c r="F37" s="188">
        <f>+F36*Hipótesis!C33</f>
        <v>74.558298170546323</v>
      </c>
      <c r="G37" s="681">
        <f t="shared" ref="G37:G56" si="1">(F37*(($G$8-$F$8)/$F$8))+F37</f>
        <v>97.044134126742833</v>
      </c>
      <c r="H37" s="252"/>
      <c r="I37" s="165"/>
    </row>
    <row r="38" spans="2:9" ht="15" customHeight="1" x14ac:dyDescent="0.35">
      <c r="B38" s="54" t="s">
        <v>906</v>
      </c>
      <c r="C38" s="288" t="s">
        <v>442</v>
      </c>
      <c r="D38" s="88" t="s">
        <v>907</v>
      </c>
      <c r="E38" s="174">
        <v>0.03</v>
      </c>
      <c r="F38" s="188">
        <f>+F37*E38</f>
        <v>2.2367489451163896</v>
      </c>
      <c r="G38" s="681">
        <f t="shared" si="1"/>
        <v>2.9113240238022851</v>
      </c>
      <c r="H38" s="252"/>
      <c r="I38" s="165" t="s">
        <v>908</v>
      </c>
    </row>
    <row r="39" spans="2:9" ht="15" customHeight="1" x14ac:dyDescent="0.35">
      <c r="B39" s="54" t="s">
        <v>1108</v>
      </c>
      <c r="C39" s="288" t="s">
        <v>442</v>
      </c>
      <c r="D39" s="88" t="s">
        <v>444</v>
      </c>
      <c r="E39" s="189"/>
      <c r="F39" s="188">
        <f>+F36*Hipótesis!$C$34</f>
        <v>13.157346735978763</v>
      </c>
      <c r="G39" s="681">
        <f>+G36*Hipótesis!$C$34</f>
        <v>17.125435434131088</v>
      </c>
      <c r="H39" s="252"/>
      <c r="I39" s="165"/>
    </row>
    <row r="40" spans="2:9" ht="15" customHeight="1" x14ac:dyDescent="0.35">
      <c r="B40" s="54" t="s">
        <v>875</v>
      </c>
      <c r="C40" s="288" t="s">
        <v>442</v>
      </c>
      <c r="D40" s="88" t="s">
        <v>876</v>
      </c>
      <c r="E40" s="189"/>
      <c r="F40" s="188">
        <f>+F37</f>
        <v>74.558298170546323</v>
      </c>
      <c r="G40" s="681">
        <f t="shared" si="1"/>
        <v>97.044134126742833</v>
      </c>
      <c r="H40" s="252"/>
      <c r="I40" s="165"/>
    </row>
    <row r="41" spans="2:9" ht="15" customHeight="1" x14ac:dyDescent="0.35">
      <c r="B41" s="54" t="s">
        <v>892</v>
      </c>
      <c r="C41" s="288" t="s">
        <v>442</v>
      </c>
      <c r="D41" s="88" t="s">
        <v>893</v>
      </c>
      <c r="E41" s="189"/>
      <c r="F41" s="188">
        <f>+F40/3</f>
        <v>24.852766056848775</v>
      </c>
      <c r="G41" s="681">
        <f>+G40/3</f>
        <v>32.34804470891428</v>
      </c>
      <c r="H41" s="252"/>
      <c r="I41" s="165"/>
    </row>
    <row r="42" spans="2:9" ht="15" customHeight="1" x14ac:dyDescent="0.35">
      <c r="B42" s="54" t="s">
        <v>477</v>
      </c>
      <c r="C42" s="288" t="s">
        <v>442</v>
      </c>
      <c r="D42" s="88"/>
      <c r="E42" s="189"/>
      <c r="F42" s="188">
        <f>+F36*Hipótesis!$C$47</f>
        <v>52.629386943915051</v>
      </c>
      <c r="G42" s="681">
        <f>+G36*Hipótesis!$C$47</f>
        <v>68.501741736524352</v>
      </c>
      <c r="H42" s="252"/>
      <c r="I42" s="165"/>
    </row>
    <row r="43" spans="2:9" ht="15" customHeight="1" x14ac:dyDescent="0.35">
      <c r="B43" s="54" t="s">
        <v>478</v>
      </c>
      <c r="C43" s="288" t="s">
        <v>442</v>
      </c>
      <c r="D43" s="88" t="s">
        <v>481</v>
      </c>
      <c r="E43" s="189"/>
      <c r="F43" s="188">
        <f>+F36*Hipótesis!$C$48</f>
        <v>35.086257962610034</v>
      </c>
      <c r="G43" s="681">
        <f>+G36*Hipótesis!$C$48</f>
        <v>45.667827824349573</v>
      </c>
      <c r="H43" s="252"/>
      <c r="I43" s="165"/>
    </row>
    <row r="44" spans="2:9" ht="15" customHeight="1" x14ac:dyDescent="0.35">
      <c r="B44" s="54" t="s">
        <v>1109</v>
      </c>
      <c r="C44" s="288" t="s">
        <v>442</v>
      </c>
      <c r="D44" s="88" t="s">
        <v>533</v>
      </c>
      <c r="E44" s="189"/>
      <c r="F44" s="188">
        <f>+F43+F35</f>
        <v>52.629386943915051</v>
      </c>
      <c r="G44" s="681">
        <f>+G43+G35</f>
        <v>68.501741736524352</v>
      </c>
      <c r="H44" s="252"/>
      <c r="I44" s="165"/>
    </row>
    <row r="45" spans="2:9" ht="15" customHeight="1" x14ac:dyDescent="0.35">
      <c r="B45" s="54" t="s">
        <v>1110</v>
      </c>
      <c r="C45" s="288"/>
      <c r="D45" s="88" t="s">
        <v>581</v>
      </c>
      <c r="E45" s="189"/>
      <c r="F45" s="188">
        <f>+F43+F35</f>
        <v>52.629386943915051</v>
      </c>
      <c r="G45" s="681">
        <f>+G43+G35</f>
        <v>68.501741736524352</v>
      </c>
      <c r="H45" s="252"/>
      <c r="I45" s="165"/>
    </row>
    <row r="46" spans="2:9" ht="15" customHeight="1" x14ac:dyDescent="0.35">
      <c r="B46" s="54" t="s">
        <v>578</v>
      </c>
      <c r="C46" s="288"/>
      <c r="D46" s="88" t="s">
        <v>576</v>
      </c>
      <c r="E46" s="189"/>
      <c r="F46" s="188">
        <f>+F45/Hipótesis!$C$55</f>
        <v>26.314693471957526</v>
      </c>
      <c r="G46" s="681">
        <f>+G45/Hipótesis!$C$55</f>
        <v>34.250870868262176</v>
      </c>
      <c r="H46" s="252"/>
      <c r="I46" s="165"/>
    </row>
    <row r="47" spans="2:9" ht="15" customHeight="1" x14ac:dyDescent="0.35">
      <c r="B47" s="54" t="s">
        <v>371</v>
      </c>
      <c r="C47" s="288"/>
      <c r="D47" s="88" t="s">
        <v>372</v>
      </c>
      <c r="E47" s="132">
        <f>+E31+E35</f>
        <v>365.51</v>
      </c>
      <c r="F47" s="150">
        <f>+(E47*E8)/D8</f>
        <v>427.47927159711975</v>
      </c>
      <c r="G47" s="681">
        <f t="shared" si="1"/>
        <v>556.40159160260032</v>
      </c>
      <c r="H47" s="55"/>
    </row>
    <row r="48" spans="2:9" ht="15" customHeight="1" x14ac:dyDescent="0.35">
      <c r="B48" s="54" t="s">
        <v>167</v>
      </c>
      <c r="C48" s="288"/>
      <c r="D48" s="88" t="s">
        <v>263</v>
      </c>
      <c r="E48" s="193">
        <f>+E31+E34-E32</f>
        <v>381.52</v>
      </c>
      <c r="F48" s="150">
        <f>+(E48*E8)/D8</f>
        <v>446.20363792983267</v>
      </c>
      <c r="G48" s="681">
        <f t="shared" si="1"/>
        <v>580.77298905152816</v>
      </c>
      <c r="H48" s="55"/>
      <c r="I48" s="165"/>
    </row>
    <row r="49" spans="2:11" ht="15" customHeight="1" x14ac:dyDescent="0.35">
      <c r="B49" s="217" t="s">
        <v>276</v>
      </c>
      <c r="C49" s="289"/>
      <c r="D49" s="88" t="s">
        <v>279</v>
      </c>
      <c r="E49" s="193"/>
      <c r="F49" s="150">
        <f>+F31*Hipótesis!$D$25</f>
        <v>107.06399999999999</v>
      </c>
      <c r="G49" s="681">
        <f>+G31*Hipótesis!$D$25</f>
        <v>139.35314285714284</v>
      </c>
      <c r="H49" s="253"/>
      <c r="I49" s="255" t="s">
        <v>373</v>
      </c>
      <c r="J49" s="256"/>
      <c r="K49" s="256"/>
    </row>
    <row r="50" spans="2:11" ht="15" customHeight="1" x14ac:dyDescent="0.35">
      <c r="B50" s="217" t="s">
        <v>277</v>
      </c>
      <c r="C50" s="289"/>
      <c r="D50" s="88" t="s">
        <v>280</v>
      </c>
      <c r="E50" s="193"/>
      <c r="F50" s="150">
        <f>+F31*Hipótesis!$D$26</f>
        <v>38.661999999999999</v>
      </c>
      <c r="G50" s="681">
        <f>+G31*Hipótesis!$D$26</f>
        <v>50.321968253968251</v>
      </c>
      <c r="H50" s="55"/>
      <c r="I50" s="255" t="s">
        <v>375</v>
      </c>
      <c r="J50" s="256"/>
      <c r="K50" s="256"/>
    </row>
    <row r="51" spans="2:11" ht="15" customHeight="1" x14ac:dyDescent="0.35">
      <c r="B51" s="217" t="s">
        <v>278</v>
      </c>
      <c r="C51" s="289"/>
      <c r="D51" s="88" t="s">
        <v>281</v>
      </c>
      <c r="E51" s="193"/>
      <c r="F51" s="150">
        <f>+F31*Hipótesis!D27</f>
        <v>2.9739999999999998</v>
      </c>
      <c r="G51" s="681">
        <f t="shared" si="1"/>
        <v>3.8709206349206347</v>
      </c>
      <c r="H51" s="253"/>
      <c r="I51" s="255" t="s">
        <v>374</v>
      </c>
      <c r="J51" s="256"/>
      <c r="K51" s="256"/>
    </row>
    <row r="52" spans="2:11" ht="15" customHeight="1" x14ac:dyDescent="0.35">
      <c r="B52" s="54" t="s">
        <v>165</v>
      </c>
      <c r="C52" s="288"/>
      <c r="D52" s="88" t="s">
        <v>168</v>
      </c>
      <c r="E52" s="193">
        <f>(+E31/4)+E35</f>
        <v>102.6275</v>
      </c>
      <c r="F52" s="150">
        <f>+(E52*E8)/D8</f>
        <v>120.0271646352587</v>
      </c>
      <c r="G52" s="681">
        <f t="shared" si="1"/>
        <v>156.22583333478116</v>
      </c>
      <c r="H52" s="253"/>
    </row>
    <row r="53" spans="2:11" ht="15" customHeight="1" x14ac:dyDescent="0.35">
      <c r="B53" s="54" t="s">
        <v>1111</v>
      </c>
      <c r="C53" s="288"/>
      <c r="D53" s="88" t="s">
        <v>243</v>
      </c>
      <c r="E53" s="193">
        <f>(+E34/Hipótesis!C23)*Hipótesis!C39</f>
        <v>45</v>
      </c>
      <c r="F53" s="150">
        <f>+(E53*E8)/D8</f>
        <v>52.629386943915058</v>
      </c>
      <c r="G53" s="681">
        <f t="shared" si="1"/>
        <v>68.501741736524366</v>
      </c>
      <c r="H53" s="55"/>
    </row>
    <row r="54" spans="2:11" ht="15" customHeight="1" x14ac:dyDescent="0.35">
      <c r="B54" s="54" t="s">
        <v>1112</v>
      </c>
      <c r="C54" s="288"/>
      <c r="D54" s="88" t="s">
        <v>244</v>
      </c>
      <c r="E54" s="193">
        <f>+E35</f>
        <v>15</v>
      </c>
      <c r="F54" s="150">
        <f>+($E$54*$E$8)/D8</f>
        <v>17.543128981305017</v>
      </c>
      <c r="G54" s="681">
        <f t="shared" si="1"/>
        <v>22.833913912174783</v>
      </c>
      <c r="H54" s="55"/>
    </row>
    <row r="55" spans="2:11" ht="15" customHeight="1" x14ac:dyDescent="0.35">
      <c r="B55" s="54" t="s">
        <v>172</v>
      </c>
      <c r="C55" s="288"/>
      <c r="D55" s="88" t="s">
        <v>173</v>
      </c>
      <c r="E55" s="193">
        <f>+E31+E35-E32</f>
        <v>306.52</v>
      </c>
      <c r="F55" s="150">
        <f>+(E55*E8)/D8</f>
        <v>358.48799302330758</v>
      </c>
      <c r="G55" s="681">
        <f t="shared" si="1"/>
        <v>466.60341949065429</v>
      </c>
      <c r="H55" s="55"/>
    </row>
    <row r="56" spans="2:11" ht="15" customHeight="1" x14ac:dyDescent="0.35">
      <c r="B56" s="54" t="s">
        <v>197</v>
      </c>
      <c r="C56" s="288"/>
      <c r="D56" s="88" t="s">
        <v>198</v>
      </c>
      <c r="E56" s="156"/>
      <c r="F56" s="150">
        <v>4</v>
      </c>
      <c r="G56" s="681">
        <f t="shared" si="1"/>
        <v>5.2063492063492065</v>
      </c>
      <c r="H56" s="55"/>
    </row>
    <row r="57" spans="2:11" ht="15" customHeight="1" x14ac:dyDescent="0.35">
      <c r="B57" s="55" t="s">
        <v>70</v>
      </c>
      <c r="C57" s="248"/>
      <c r="D57" s="89" t="s">
        <v>72</v>
      </c>
      <c r="E57" s="131">
        <f>1017+49</f>
        <v>1066</v>
      </c>
      <c r="F57" s="151">
        <f>+E57</f>
        <v>1066</v>
      </c>
      <c r="G57" s="688">
        <f>+E57</f>
        <v>1066</v>
      </c>
      <c r="H57" s="55"/>
    </row>
    <row r="58" spans="2:11" ht="15" customHeight="1" x14ac:dyDescent="0.35">
      <c r="B58" s="55" t="s">
        <v>71</v>
      </c>
      <c r="C58" s="248"/>
      <c r="D58" s="88" t="s">
        <v>73</v>
      </c>
      <c r="E58" s="131">
        <v>642</v>
      </c>
      <c r="F58" s="145"/>
      <c r="G58" s="674"/>
      <c r="H58" s="55"/>
    </row>
    <row r="59" spans="2:11" ht="15" customHeight="1" x14ac:dyDescent="0.35">
      <c r="B59" s="55" t="s">
        <v>119</v>
      </c>
      <c r="C59" s="248"/>
      <c r="D59" s="88" t="s">
        <v>117</v>
      </c>
      <c r="E59" s="132">
        <f>+E58/Hipótesis!C17/Hipótesis!C15</f>
        <v>14.266666666666666</v>
      </c>
      <c r="F59" s="150">
        <f>+(E59*E5)/D5</f>
        <v>16.964570416297612</v>
      </c>
      <c r="G59" s="674"/>
      <c r="H59" s="55"/>
    </row>
    <row r="60" spans="2:11" ht="15" customHeight="1" x14ac:dyDescent="0.35">
      <c r="B60" s="55" t="s">
        <v>120</v>
      </c>
      <c r="C60" s="248"/>
      <c r="D60" s="88" t="s">
        <v>118</v>
      </c>
      <c r="E60" s="132"/>
      <c r="F60" s="150"/>
      <c r="G60" s="674"/>
      <c r="H60" s="55"/>
    </row>
    <row r="61" spans="2:11" ht="15" customHeight="1" x14ac:dyDescent="0.35">
      <c r="B61" s="55" t="s">
        <v>121</v>
      </c>
      <c r="C61" s="248"/>
      <c r="D61" s="88" t="s">
        <v>115</v>
      </c>
      <c r="E61" s="132"/>
      <c r="F61" s="150">
        <f>+F59+F60</f>
        <v>16.964570416297612</v>
      </c>
      <c r="G61" s="674"/>
      <c r="H61" s="55"/>
    </row>
    <row r="62" spans="2:11" ht="15" customHeight="1" x14ac:dyDescent="0.35">
      <c r="B62" s="55" t="s">
        <v>114</v>
      </c>
      <c r="C62" s="248"/>
      <c r="D62" s="88" t="s">
        <v>74</v>
      </c>
      <c r="E62" s="193"/>
      <c r="F62" s="150">
        <f>+(F49+F50)*Hipótesis!$C$13</f>
        <v>87.435599999999994</v>
      </c>
      <c r="G62" s="681">
        <f>+(G49+G50)*Hipótesis!$C$13</f>
        <v>113.80506666666666</v>
      </c>
      <c r="H62" s="55"/>
    </row>
    <row r="63" spans="2:11" ht="15" customHeight="1" x14ac:dyDescent="0.35">
      <c r="B63" s="55" t="s">
        <v>1113</v>
      </c>
      <c r="C63" s="248"/>
      <c r="D63" s="88" t="s">
        <v>253</v>
      </c>
      <c r="E63" s="193"/>
      <c r="F63" s="149">
        <f>+F62*Hipótesis!$C$44</f>
        <v>174.87119999999999</v>
      </c>
      <c r="G63" s="681">
        <f>+G62*Hipótesis!$C$44</f>
        <v>227.61013333333332</v>
      </c>
      <c r="H63" s="55"/>
    </row>
    <row r="64" spans="2:11" ht="15" customHeight="1" x14ac:dyDescent="0.35">
      <c r="B64" s="55" t="s">
        <v>77</v>
      </c>
      <c r="C64" s="248"/>
      <c r="D64" s="88" t="s">
        <v>76</v>
      </c>
      <c r="E64" s="193"/>
      <c r="F64" s="149">
        <f>+F62/2</f>
        <v>43.717799999999997</v>
      </c>
      <c r="G64" s="681">
        <f>+G62/2</f>
        <v>56.902533333333331</v>
      </c>
      <c r="H64" s="55"/>
    </row>
    <row r="65" spans="2:9" ht="15" customHeight="1" x14ac:dyDescent="0.35">
      <c r="B65" s="55" t="s">
        <v>116</v>
      </c>
      <c r="C65" s="248"/>
      <c r="D65" s="88" t="s">
        <v>60</v>
      </c>
      <c r="E65" s="194">
        <v>5.0000000000000001E-3</v>
      </c>
      <c r="F65" s="149">
        <f>+F31*E65</f>
        <v>0.74349999999999994</v>
      </c>
      <c r="G65" s="681">
        <f>+G31*E65</f>
        <v>0.96773015873015866</v>
      </c>
      <c r="H65" s="55"/>
    </row>
    <row r="66" spans="2:9" ht="15" customHeight="1" x14ac:dyDescent="0.35">
      <c r="B66" s="55" t="s">
        <v>423</v>
      </c>
      <c r="C66" s="248"/>
      <c r="D66" s="88" t="s">
        <v>424</v>
      </c>
      <c r="E66" s="194">
        <v>5.0000000000000001E-3</v>
      </c>
      <c r="F66" s="149">
        <f>+E66*F33</f>
        <v>0.1704</v>
      </c>
      <c r="G66" s="681">
        <f t="shared" ref="G66:G73" si="2">(F66*(($G$8-$F$8)/$F$8))+F66</f>
        <v>0.22179047619047618</v>
      </c>
      <c r="H66" s="55"/>
    </row>
    <row r="67" spans="2:9" ht="15" customHeight="1" x14ac:dyDescent="0.35">
      <c r="B67" s="55" t="s">
        <v>145</v>
      </c>
      <c r="C67" s="248"/>
      <c r="D67" s="88" t="s">
        <v>146</v>
      </c>
      <c r="E67" s="174">
        <v>0.01</v>
      </c>
      <c r="F67" s="196">
        <f>(+(F31+F34)-F32)*E67</f>
        <v>2.198787738878301</v>
      </c>
      <c r="G67" s="681">
        <f t="shared" si="2"/>
        <v>2.8619141998098518</v>
      </c>
      <c r="H67" s="55"/>
    </row>
    <row r="68" spans="2:9" ht="15" customHeight="1" x14ac:dyDescent="0.35">
      <c r="B68" s="55" t="s">
        <v>425</v>
      </c>
      <c r="C68" s="248"/>
      <c r="D68" s="88" t="s">
        <v>426</v>
      </c>
      <c r="E68" s="174">
        <v>0.01</v>
      </c>
      <c r="F68" s="687">
        <f>+E68*F92</f>
        <v>6.8000000000000005E-2</v>
      </c>
      <c r="G68" s="681">
        <f t="shared" si="2"/>
        <v>8.8507936507936508E-2</v>
      </c>
      <c r="H68" s="55"/>
    </row>
    <row r="69" spans="2:9" ht="15" customHeight="1" x14ac:dyDescent="0.35">
      <c r="B69" s="55" t="s">
        <v>245</v>
      </c>
      <c r="C69" s="248"/>
      <c r="D69" s="88" t="s">
        <v>246</v>
      </c>
      <c r="E69" s="174">
        <v>0.01</v>
      </c>
      <c r="F69" s="196">
        <f>+E69*F53</f>
        <v>0.52629386943915057</v>
      </c>
      <c r="G69" s="681">
        <f t="shared" si="2"/>
        <v>0.68501741736524357</v>
      </c>
      <c r="H69" s="55"/>
    </row>
    <row r="70" spans="2:9" ht="15" customHeight="1" x14ac:dyDescent="0.35">
      <c r="B70" s="55" t="s">
        <v>1114</v>
      </c>
      <c r="C70" s="248"/>
      <c r="D70" s="88" t="s">
        <v>217</v>
      </c>
      <c r="E70" s="174">
        <v>0.02</v>
      </c>
      <c r="F70" s="196">
        <f>+E70*F48</f>
        <v>8.9240727585966528</v>
      </c>
      <c r="G70" s="681">
        <f t="shared" si="2"/>
        <v>11.615459781030564</v>
      </c>
      <c r="H70" s="55"/>
    </row>
    <row r="71" spans="2:9" ht="15" customHeight="1" x14ac:dyDescent="0.35">
      <c r="B71" s="55" t="s">
        <v>1115</v>
      </c>
      <c r="C71" s="248"/>
      <c r="D71" s="88" t="s">
        <v>427</v>
      </c>
      <c r="E71" s="174">
        <v>0.02</v>
      </c>
      <c r="F71" s="196">
        <f>+E71*F92</f>
        <v>0.13600000000000001</v>
      </c>
      <c r="G71" s="681">
        <f t="shared" si="2"/>
        <v>0.17701587301587302</v>
      </c>
      <c r="H71" s="55"/>
    </row>
    <row r="72" spans="2:9" ht="15" customHeight="1" x14ac:dyDescent="0.35">
      <c r="B72" s="55" t="s">
        <v>220</v>
      </c>
      <c r="C72" s="248"/>
      <c r="D72" s="88" t="s">
        <v>219</v>
      </c>
      <c r="E72" s="206">
        <v>2E-3</v>
      </c>
      <c r="F72" s="196">
        <f>+E72*F48</f>
        <v>0.89240727585966539</v>
      </c>
      <c r="G72" s="681">
        <f t="shared" si="2"/>
        <v>1.1615459781030566</v>
      </c>
      <c r="H72" s="55"/>
    </row>
    <row r="73" spans="2:9" ht="15" customHeight="1" x14ac:dyDescent="0.35">
      <c r="B73" s="55" t="s">
        <v>223</v>
      </c>
      <c r="C73" s="248"/>
      <c r="D73" s="88" t="s">
        <v>264</v>
      </c>
      <c r="E73" s="206"/>
      <c r="F73" s="196">
        <f>+F48/Hipótesis!D30</f>
        <v>111.55090948245817</v>
      </c>
      <c r="G73" s="681">
        <f t="shared" si="2"/>
        <v>145.19324726288204</v>
      </c>
      <c r="H73" s="55"/>
    </row>
    <row r="74" spans="2:9" ht="15" customHeight="1" x14ac:dyDescent="0.35">
      <c r="B74" s="55" t="s">
        <v>223</v>
      </c>
      <c r="C74" s="248"/>
      <c r="D74" s="88" t="s">
        <v>266</v>
      </c>
      <c r="E74" s="206"/>
      <c r="F74" s="196">
        <f>+F34*Hipótesis!$C$39</f>
        <v>52.629386943915058</v>
      </c>
      <c r="G74" s="681">
        <f>+G34*Hipótesis!$C$39</f>
        <v>68.501741736524366</v>
      </c>
      <c r="H74" s="55"/>
    </row>
    <row r="75" spans="2:9" ht="15" customHeight="1" x14ac:dyDescent="0.35">
      <c r="B75" s="55" t="s">
        <v>223</v>
      </c>
      <c r="C75" s="248"/>
      <c r="D75" s="88" t="s">
        <v>265</v>
      </c>
      <c r="E75" s="206"/>
      <c r="F75" s="196">
        <f>+F34*Hipótesis!$C$40</f>
        <v>52.629386943915058</v>
      </c>
      <c r="G75" s="681">
        <f>+G34*Hipótesis!$C$40</f>
        <v>68.501741736524366</v>
      </c>
      <c r="H75" s="55"/>
    </row>
    <row r="76" spans="2:9" ht="15" customHeight="1" x14ac:dyDescent="0.35">
      <c r="B76" s="58" t="s">
        <v>196</v>
      </c>
      <c r="C76" s="290"/>
      <c r="D76" s="90" t="s">
        <v>195</v>
      </c>
      <c r="E76" s="201">
        <v>0.3</v>
      </c>
      <c r="F76" s="202">
        <f>+F62*E76</f>
        <v>26.230679999999996</v>
      </c>
      <c r="G76" s="684">
        <f>+E76*G62</f>
        <v>34.14152</v>
      </c>
      <c r="H76" s="58"/>
    </row>
    <row r="77" spans="2:9" s="59" customFormat="1" ht="15" customHeight="1" x14ac:dyDescent="0.35">
      <c r="D77" s="60"/>
      <c r="E77" s="61"/>
      <c r="F77" s="60"/>
      <c r="G77" s="60"/>
      <c r="H77" s="60"/>
      <c r="I77" s="60"/>
    </row>
    <row r="78" spans="2:9" ht="15" customHeight="1" x14ac:dyDescent="0.4">
      <c r="B78" s="51" t="s">
        <v>274</v>
      </c>
      <c r="C78" s="51"/>
      <c r="D78" s="52"/>
      <c r="E78" s="52"/>
      <c r="F78" s="44"/>
      <c r="G78" s="44"/>
      <c r="H78" s="63"/>
      <c r="I78" s="63"/>
    </row>
    <row r="79" spans="2:9" ht="15" customHeight="1" x14ac:dyDescent="0.35">
      <c r="B79" s="53" t="s">
        <v>87</v>
      </c>
      <c r="C79" s="287"/>
      <c r="D79" s="87"/>
      <c r="E79" s="130">
        <f>+E57</f>
        <v>1066</v>
      </c>
      <c r="F79" s="175">
        <f>+E79</f>
        <v>1066</v>
      </c>
      <c r="G79" s="685">
        <f>+F79</f>
        <v>1066</v>
      </c>
      <c r="H79" s="241"/>
      <c r="I79" s="116" t="s">
        <v>90</v>
      </c>
    </row>
    <row r="80" spans="2:9" ht="15" customHeight="1" x14ac:dyDescent="0.35">
      <c r="B80" s="54" t="s">
        <v>88</v>
      </c>
      <c r="C80" s="288"/>
      <c r="D80" s="88"/>
      <c r="E80" s="131">
        <v>642</v>
      </c>
      <c r="F80" s="134"/>
      <c r="G80" s="674"/>
      <c r="H80" s="610"/>
      <c r="I80" s="160">
        <f>+E80/E79</f>
        <v>0.60225140712945591</v>
      </c>
    </row>
    <row r="81" spans="1:9" ht="15" customHeight="1" x14ac:dyDescent="0.35">
      <c r="B81" s="54" t="s">
        <v>89</v>
      </c>
      <c r="C81" s="288"/>
      <c r="D81" s="88"/>
      <c r="E81" s="131">
        <f>+E79-E80</f>
        <v>424</v>
      </c>
      <c r="F81" s="135"/>
      <c r="G81" s="674"/>
      <c r="H81" s="610"/>
      <c r="I81" s="160">
        <f>+E81/E79</f>
        <v>0.39774859287054409</v>
      </c>
    </row>
    <row r="82" spans="1:9" ht="15" customHeight="1" x14ac:dyDescent="0.35">
      <c r="B82" s="161" t="s">
        <v>162</v>
      </c>
      <c r="C82" s="161"/>
      <c r="D82" s="142" t="s">
        <v>161</v>
      </c>
      <c r="E82" s="192">
        <f>+E31+E34-E32</f>
        <v>381.52</v>
      </c>
      <c r="F82" s="135">
        <f>+(E82*(E5+E6))/D5</f>
        <v>502.783514975684</v>
      </c>
      <c r="G82" s="674"/>
      <c r="H82" s="610"/>
      <c r="I82" s="160"/>
    </row>
    <row r="83" spans="1:9" ht="15" customHeight="1" x14ac:dyDescent="0.35">
      <c r="B83" s="161" t="s">
        <v>157</v>
      </c>
      <c r="C83" s="161"/>
      <c r="D83" s="142" t="s">
        <v>158</v>
      </c>
      <c r="E83" s="156">
        <v>0.02</v>
      </c>
      <c r="F83" s="190">
        <f>+E83*F32</f>
        <v>0.68159999999999998</v>
      </c>
      <c r="G83" s="681">
        <f t="shared" ref="G83:G89" si="3">(F83*(($G$8-$F$8)/$F$8))+F83</f>
        <v>0.88716190476190471</v>
      </c>
      <c r="H83" s="610"/>
      <c r="I83" s="160"/>
    </row>
    <row r="84" spans="1:9" ht="15" customHeight="1" x14ac:dyDescent="0.35">
      <c r="B84" s="161" t="s">
        <v>170</v>
      </c>
      <c r="C84" s="161"/>
      <c r="D84" s="142" t="s">
        <v>171</v>
      </c>
      <c r="E84" s="131"/>
      <c r="F84" s="135">
        <v>1</v>
      </c>
      <c r="G84" s="674">
        <v>1</v>
      </c>
      <c r="H84" s="610"/>
      <c r="I84" s="160"/>
    </row>
    <row r="85" spans="1:9" ht="15" customHeight="1" x14ac:dyDescent="0.35">
      <c r="B85" s="161" t="s">
        <v>122</v>
      </c>
      <c r="C85" s="161"/>
      <c r="D85" s="142" t="s">
        <v>125</v>
      </c>
      <c r="E85" s="132">
        <f>+Hipótesis!D29</f>
        <v>0.72</v>
      </c>
      <c r="F85" s="158">
        <f>+(E85*E5)/D5</f>
        <v>0.85615589016829063</v>
      </c>
      <c r="G85" s="675">
        <f t="shared" si="3"/>
        <v>1.1143616348222196</v>
      </c>
      <c r="H85" s="610"/>
      <c r="I85" s="157"/>
    </row>
    <row r="86" spans="1:9" ht="15" customHeight="1" x14ac:dyDescent="0.35">
      <c r="B86" s="121" t="s">
        <v>123</v>
      </c>
      <c r="C86" s="121"/>
      <c r="D86" s="142" t="s">
        <v>124</v>
      </c>
      <c r="E86" s="132">
        <f>+[4]Hoja2!$F$537</f>
        <v>150.20211689522756</v>
      </c>
      <c r="F86" s="140">
        <f>+(E86*E5)/D5</f>
        <v>178.60614874388222</v>
      </c>
      <c r="G86" s="675">
        <f t="shared" si="3"/>
        <v>232.47149519044987</v>
      </c>
      <c r="H86" s="610"/>
      <c r="I86" s="181"/>
    </row>
    <row r="87" spans="1:9" ht="15" customHeight="1" x14ac:dyDescent="0.35">
      <c r="B87" s="121" t="s">
        <v>1116</v>
      </c>
      <c r="C87" s="121"/>
      <c r="D87" s="142" t="s">
        <v>143</v>
      </c>
      <c r="E87" s="131"/>
      <c r="F87" s="173">
        <v>60</v>
      </c>
      <c r="G87" s="675">
        <f>+F87</f>
        <v>60</v>
      </c>
      <c r="H87" s="610"/>
      <c r="I87" s="65"/>
    </row>
    <row r="88" spans="1:9" ht="15" customHeight="1" x14ac:dyDescent="0.35">
      <c r="B88" s="161" t="s">
        <v>127</v>
      </c>
      <c r="C88" s="161"/>
      <c r="D88" s="142" t="s">
        <v>129</v>
      </c>
      <c r="E88" s="192"/>
      <c r="F88" s="140">
        <f>+F75+F73+F94</f>
        <v>191.46029642637322</v>
      </c>
      <c r="G88" s="675">
        <f>+G75+G73+G94</f>
        <v>249.20229058670799</v>
      </c>
      <c r="H88" s="610"/>
      <c r="I88" s="65"/>
    </row>
    <row r="89" spans="1:9" ht="15" customHeight="1" x14ac:dyDescent="0.35">
      <c r="B89" s="227" t="s">
        <v>128</v>
      </c>
      <c r="C89" s="291"/>
      <c r="D89" s="90" t="s">
        <v>130</v>
      </c>
      <c r="E89" s="133"/>
      <c r="F89" s="228">
        <f>+F34</f>
        <v>105.25877388783012</v>
      </c>
      <c r="G89" s="686">
        <f t="shared" si="3"/>
        <v>137.00348347304873</v>
      </c>
      <c r="H89" s="611"/>
      <c r="I89" s="65"/>
    </row>
    <row r="90" spans="1:9" ht="15" customHeight="1" x14ac:dyDescent="0.35">
      <c r="E90" s="215"/>
      <c r="F90" s="138"/>
      <c r="G90" s="44"/>
      <c r="H90" s="221"/>
      <c r="I90" s="65"/>
    </row>
    <row r="91" spans="1:9" ht="15" customHeight="1" x14ac:dyDescent="0.4">
      <c r="A91" s="216" t="s">
        <v>258</v>
      </c>
      <c r="E91" s="215"/>
      <c r="F91" s="138"/>
      <c r="G91" s="44"/>
      <c r="H91" s="221"/>
      <c r="I91" s="65"/>
    </row>
    <row r="92" spans="1:9" ht="15" customHeight="1" x14ac:dyDescent="0.35">
      <c r="B92" s="360" t="s">
        <v>537</v>
      </c>
      <c r="C92" s="472" t="s">
        <v>877</v>
      </c>
      <c r="D92" s="214" t="s">
        <v>539</v>
      </c>
      <c r="E92" s="130"/>
      <c r="F92" s="139">
        <f>4.8+2</f>
        <v>6.8</v>
      </c>
      <c r="G92" s="678">
        <f t="shared" ref="G92:G94" si="4">(F92*(($G$8-$F$8)/$F$8))+F92</f>
        <v>8.8507936507936513</v>
      </c>
      <c r="H92" s="612"/>
      <c r="I92" s="210" t="s">
        <v>880</v>
      </c>
    </row>
    <row r="93" spans="1:9" ht="15" customHeight="1" x14ac:dyDescent="0.35">
      <c r="B93" s="211" t="s">
        <v>921</v>
      </c>
      <c r="C93" s="292" t="s">
        <v>877</v>
      </c>
      <c r="D93" s="89" t="s">
        <v>922</v>
      </c>
      <c r="E93" s="482">
        <v>0.03</v>
      </c>
      <c r="F93" s="140">
        <f>+E93*F92</f>
        <v>0.20399999999999999</v>
      </c>
      <c r="G93" s="675">
        <f t="shared" si="4"/>
        <v>0.2655238095238095</v>
      </c>
      <c r="H93" s="610"/>
      <c r="I93" s="210"/>
    </row>
    <row r="94" spans="1:9" ht="15" customHeight="1" x14ac:dyDescent="0.35">
      <c r="B94" s="211" t="s">
        <v>536</v>
      </c>
      <c r="C94" s="292" t="s">
        <v>877</v>
      </c>
      <c r="D94" s="89" t="s">
        <v>540</v>
      </c>
      <c r="E94" s="131"/>
      <c r="F94" s="140">
        <f>+F33-F92</f>
        <v>27.279999999999998</v>
      </c>
      <c r="G94" s="675">
        <f t="shared" si="4"/>
        <v>35.507301587301583</v>
      </c>
      <c r="H94" s="610"/>
      <c r="I94" s="210" t="s">
        <v>538</v>
      </c>
    </row>
    <row r="95" spans="1:9" ht="15" customHeight="1" x14ac:dyDescent="0.35">
      <c r="B95" s="211" t="s">
        <v>490</v>
      </c>
      <c r="C95" s="292"/>
      <c r="D95" s="89"/>
      <c r="E95" s="131"/>
      <c r="F95" s="140">
        <f t="shared" ref="F95:G97" si="5">+F49</f>
        <v>107.06399999999999</v>
      </c>
      <c r="G95" s="675">
        <f t="shared" si="5"/>
        <v>139.35314285714284</v>
      </c>
      <c r="H95" s="610"/>
      <c r="I95" s="210"/>
    </row>
    <row r="96" spans="1:9" ht="15" customHeight="1" x14ac:dyDescent="0.35">
      <c r="B96" s="211" t="s">
        <v>491</v>
      </c>
      <c r="C96" s="292"/>
      <c r="D96" s="89"/>
      <c r="E96" s="131"/>
      <c r="F96" s="140">
        <f t="shared" si="5"/>
        <v>38.661999999999999</v>
      </c>
      <c r="G96" s="675">
        <f t="shared" si="5"/>
        <v>50.321968253968251</v>
      </c>
      <c r="H96" s="610"/>
      <c r="I96" s="220"/>
    </row>
    <row r="97" spans="1:9" ht="15" customHeight="1" x14ac:dyDescent="0.35">
      <c r="B97" s="211" t="s">
        <v>275</v>
      </c>
      <c r="C97" s="292"/>
      <c r="D97" s="89"/>
      <c r="E97" s="131"/>
      <c r="F97" s="140">
        <f t="shared" si="5"/>
        <v>2.9739999999999998</v>
      </c>
      <c r="G97" s="675">
        <f t="shared" si="5"/>
        <v>3.8709206349206347</v>
      </c>
      <c r="H97" s="610"/>
      <c r="I97" s="210"/>
    </row>
    <row r="98" spans="1:9" ht="15" customHeight="1" x14ac:dyDescent="0.35">
      <c r="B98" s="211" t="s">
        <v>515</v>
      </c>
      <c r="C98" s="292"/>
      <c r="D98" s="89" t="s">
        <v>516</v>
      </c>
      <c r="E98" s="131"/>
      <c r="F98" s="352">
        <f>+F97+F96+F95</f>
        <v>148.69999999999999</v>
      </c>
      <c r="G98" s="675">
        <f>+G97+G96+G95</f>
        <v>193.54603174603173</v>
      </c>
      <c r="H98" s="610"/>
      <c r="I98" s="210"/>
    </row>
    <row r="99" spans="1:9" ht="15" customHeight="1" x14ac:dyDescent="0.35">
      <c r="A99" s="248"/>
      <c r="B99" s="211" t="s">
        <v>489</v>
      </c>
      <c r="C99" s="211"/>
      <c r="D99" s="207" t="s">
        <v>488</v>
      </c>
      <c r="E99" s="131"/>
      <c r="F99" s="140">
        <f>(+F95*Hipótesis!$C$42)/Hipótesis!$D$30+(F96*Hipótesis!$C$43)/Hipótesis!$D$31</f>
        <v>16.0596</v>
      </c>
      <c r="G99" s="675">
        <f>(+G95*Hipótesis!$C$42)/Hipótesis!$D$30+(G96*Hipótesis!$C$43)/Hipótesis!$D$31</f>
        <v>20.902971428571426</v>
      </c>
      <c r="H99" s="610"/>
      <c r="I99" s="210" t="s">
        <v>492</v>
      </c>
    </row>
    <row r="100" spans="1:9" ht="15" customHeight="1" x14ac:dyDescent="0.35">
      <c r="A100" s="248"/>
      <c r="B100" s="211" t="s">
        <v>496</v>
      </c>
      <c r="C100" s="211"/>
      <c r="D100" s="207" t="s">
        <v>519</v>
      </c>
      <c r="E100" s="131"/>
      <c r="F100" s="140">
        <f>+F95*Hipótesis!$C$42</f>
        <v>64.238399999999999</v>
      </c>
      <c r="G100" s="675">
        <f>+G95*Hipótesis!$C$42</f>
        <v>83.611885714285705</v>
      </c>
      <c r="H100" s="610"/>
      <c r="I100" s="210"/>
    </row>
    <row r="101" spans="1:9" ht="15" customHeight="1" x14ac:dyDescent="0.35">
      <c r="B101" s="211" t="s">
        <v>495</v>
      </c>
      <c r="C101" s="351"/>
      <c r="D101" s="207" t="s">
        <v>520</v>
      </c>
      <c r="E101" s="215"/>
      <c r="F101" s="140">
        <f>(+F95-F100)+F96+F97</f>
        <v>84.46159999999999</v>
      </c>
      <c r="G101" s="675">
        <f>(+G95-G100)+G96+G97</f>
        <v>109.93414603174602</v>
      </c>
      <c r="H101" s="610"/>
      <c r="I101" s="210"/>
    </row>
    <row r="102" spans="1:9" ht="15" customHeight="1" x14ac:dyDescent="0.35">
      <c r="A102" s="248"/>
      <c r="B102" s="211" t="s">
        <v>511</v>
      </c>
      <c r="C102" s="292"/>
      <c r="D102" s="89" t="s">
        <v>513</v>
      </c>
      <c r="E102" s="131"/>
      <c r="F102" s="140">
        <v>6</v>
      </c>
      <c r="G102" s="675">
        <v>6</v>
      </c>
      <c r="H102" s="610"/>
      <c r="I102" s="210" t="s">
        <v>512</v>
      </c>
    </row>
    <row r="103" spans="1:9" ht="15" customHeight="1" x14ac:dyDescent="0.35">
      <c r="A103" s="248"/>
      <c r="B103" s="211"/>
      <c r="C103" s="292"/>
      <c r="D103" s="89"/>
      <c r="E103" s="131"/>
      <c r="F103" s="140"/>
      <c r="G103" s="674"/>
      <c r="H103" s="610"/>
      <c r="I103" s="210"/>
    </row>
    <row r="104" spans="1:9" ht="15" customHeight="1" x14ac:dyDescent="0.35">
      <c r="A104" s="55" t="s">
        <v>1117</v>
      </c>
      <c r="B104" s="377" t="s">
        <v>295</v>
      </c>
      <c r="C104" s="378"/>
      <c r="D104" s="379"/>
      <c r="E104" s="380"/>
      <c r="F104" s="381">
        <v>19.600000000000001</v>
      </c>
      <c r="G104" s="674"/>
      <c r="H104" s="610"/>
      <c r="I104" s="210" t="s">
        <v>299</v>
      </c>
    </row>
    <row r="105" spans="1:9" ht="15" customHeight="1" x14ac:dyDescent="0.35">
      <c r="A105" s="55"/>
      <c r="B105" s="377" t="s">
        <v>296</v>
      </c>
      <c r="C105" s="378"/>
      <c r="D105" s="379"/>
      <c r="E105" s="380"/>
      <c r="F105" s="381">
        <v>1</v>
      </c>
      <c r="G105" s="674"/>
      <c r="H105" s="610"/>
      <c r="I105" s="210" t="s">
        <v>298</v>
      </c>
    </row>
    <row r="106" spans="1:9" ht="15" customHeight="1" x14ac:dyDescent="0.35">
      <c r="A106" s="55"/>
      <c r="B106" s="377" t="s">
        <v>290</v>
      </c>
      <c r="C106" s="378"/>
      <c r="D106" s="379"/>
      <c r="E106" s="380"/>
      <c r="F106" s="381">
        <f>+F104*Hipótesis!C42</f>
        <v>11.76</v>
      </c>
      <c r="G106" s="674"/>
      <c r="H106" s="610"/>
      <c r="I106" s="210"/>
    </row>
    <row r="107" spans="1:9" ht="15" customHeight="1" x14ac:dyDescent="0.35">
      <c r="A107" s="55"/>
      <c r="B107" s="377" t="s">
        <v>291</v>
      </c>
      <c r="C107" s="378"/>
      <c r="D107" s="379"/>
      <c r="E107" s="380"/>
      <c r="F107" s="381">
        <f>+F105*Hipótesis!C43</f>
        <v>0</v>
      </c>
      <c r="G107" s="674"/>
      <c r="H107" s="610"/>
      <c r="I107" s="210"/>
    </row>
    <row r="108" spans="1:9" ht="15" customHeight="1" x14ac:dyDescent="0.35">
      <c r="A108" s="55"/>
      <c r="B108" s="377" t="s">
        <v>377</v>
      </c>
      <c r="C108" s="378"/>
      <c r="D108" s="379" t="s">
        <v>376</v>
      </c>
      <c r="E108" s="380"/>
      <c r="F108" s="381">
        <f>+F107+F106</f>
        <v>11.76</v>
      </c>
      <c r="G108" s="674"/>
      <c r="H108" s="610"/>
      <c r="I108" s="210"/>
    </row>
    <row r="109" spans="1:9" ht="15" customHeight="1" x14ac:dyDescent="0.35">
      <c r="A109" s="55"/>
      <c r="B109" s="377" t="s">
        <v>378</v>
      </c>
      <c r="C109" s="378"/>
      <c r="D109" s="379" t="s">
        <v>379</v>
      </c>
      <c r="E109" s="380"/>
      <c r="F109" s="381">
        <f>+F106/2</f>
        <v>5.88</v>
      </c>
      <c r="G109" s="674"/>
      <c r="H109" s="610"/>
      <c r="I109" s="210"/>
    </row>
    <row r="110" spans="1:9" ht="15" customHeight="1" x14ac:dyDescent="0.35">
      <c r="A110" s="55"/>
      <c r="B110" s="377" t="s">
        <v>292</v>
      </c>
      <c r="C110" s="378"/>
      <c r="D110" s="379"/>
      <c r="E110" s="380"/>
      <c r="F110" s="381">
        <f>+F104*(1-Hipótesis!C42)</f>
        <v>7.8400000000000007</v>
      </c>
      <c r="G110" s="674"/>
      <c r="H110" s="610"/>
      <c r="I110" s="210"/>
    </row>
    <row r="111" spans="1:9" ht="15" customHeight="1" x14ac:dyDescent="0.35">
      <c r="A111" s="55"/>
      <c r="B111" s="377" t="s">
        <v>293</v>
      </c>
      <c r="C111" s="378"/>
      <c r="D111" s="379"/>
      <c r="E111" s="380"/>
      <c r="F111" s="381">
        <f>+F105*(1-Hipótesis!C43)</f>
        <v>1</v>
      </c>
      <c r="G111" s="674"/>
      <c r="H111" s="610"/>
      <c r="I111" s="210"/>
    </row>
    <row r="112" spans="1:9" ht="15" customHeight="1" x14ac:dyDescent="0.35">
      <c r="A112" s="55"/>
      <c r="B112" s="377" t="s">
        <v>380</v>
      </c>
      <c r="C112" s="378"/>
      <c r="D112" s="379" t="s">
        <v>381</v>
      </c>
      <c r="E112" s="380"/>
      <c r="F112" s="381">
        <f>+F111+F110</f>
        <v>8.84</v>
      </c>
      <c r="G112" s="674"/>
      <c r="H112" s="610"/>
      <c r="I112" s="210"/>
    </row>
    <row r="113" spans="1:9" ht="15" customHeight="1" x14ac:dyDescent="0.35">
      <c r="A113" s="55"/>
      <c r="B113" s="377" t="s">
        <v>382</v>
      </c>
      <c r="C113" s="378"/>
      <c r="D113" s="379" t="s">
        <v>383</v>
      </c>
      <c r="E113" s="380"/>
      <c r="F113" s="381">
        <f>+F110/2</f>
        <v>3.9200000000000004</v>
      </c>
      <c r="G113" s="674"/>
      <c r="H113" s="610"/>
      <c r="I113" s="210"/>
    </row>
    <row r="114" spans="1:9" ht="15" customHeight="1" x14ac:dyDescent="0.35">
      <c r="A114" s="55"/>
      <c r="B114" s="377" t="s">
        <v>386</v>
      </c>
      <c r="C114" s="378"/>
      <c r="D114" s="379" t="s">
        <v>384</v>
      </c>
      <c r="E114" s="380"/>
      <c r="F114" s="381">
        <f>+F112+F108</f>
        <v>20.6</v>
      </c>
      <c r="G114" s="674"/>
      <c r="H114" s="610"/>
      <c r="I114" s="210"/>
    </row>
    <row r="115" spans="1:9" ht="15" customHeight="1" x14ac:dyDescent="0.35">
      <c r="A115" s="58"/>
      <c r="B115" s="409" t="s">
        <v>387</v>
      </c>
      <c r="C115" s="410"/>
      <c r="D115" s="411" t="s">
        <v>385</v>
      </c>
      <c r="E115" s="412"/>
      <c r="F115" s="413">
        <f>+F109+F113</f>
        <v>9.8000000000000007</v>
      </c>
      <c r="G115" s="676"/>
      <c r="H115" s="611"/>
      <c r="I115" s="210"/>
    </row>
    <row r="116" spans="1:9" ht="15" customHeight="1" x14ac:dyDescent="0.35">
      <c r="A116" s="45" t="s">
        <v>300</v>
      </c>
      <c r="B116" s="211" t="s">
        <v>556</v>
      </c>
      <c r="C116" s="292"/>
      <c r="D116" s="89" t="s">
        <v>361</v>
      </c>
      <c r="E116" s="131"/>
      <c r="F116" s="140">
        <f>+F95</f>
        <v>107.06399999999999</v>
      </c>
      <c r="G116" s="678">
        <f>+G95</f>
        <v>139.35314285714284</v>
      </c>
      <c r="H116" s="613"/>
      <c r="I116" s="210"/>
    </row>
    <row r="117" spans="1:9" ht="15" customHeight="1" x14ac:dyDescent="0.35">
      <c r="B117" s="211" t="s">
        <v>557</v>
      </c>
      <c r="C117" s="292"/>
      <c r="D117" s="89" t="s">
        <v>362</v>
      </c>
      <c r="E117" s="131"/>
      <c r="F117" s="140">
        <f>+F96</f>
        <v>38.661999999999999</v>
      </c>
      <c r="G117" s="675">
        <f>+G96</f>
        <v>50.321968253968251</v>
      </c>
      <c r="H117" s="614"/>
      <c r="I117" s="210"/>
    </row>
    <row r="118" spans="1:9" ht="15" customHeight="1" x14ac:dyDescent="0.35">
      <c r="B118" s="211" t="s">
        <v>297</v>
      </c>
      <c r="C118" s="292"/>
      <c r="D118" s="89" t="s">
        <v>363</v>
      </c>
      <c r="E118" s="131"/>
      <c r="F118" s="140">
        <f>+F51</f>
        <v>2.9739999999999998</v>
      </c>
      <c r="G118" s="675">
        <f>+G51</f>
        <v>3.8709206349206347</v>
      </c>
      <c r="H118" s="610"/>
      <c r="I118" s="210"/>
    </row>
    <row r="119" spans="1:9" ht="15" customHeight="1" x14ac:dyDescent="0.35">
      <c r="B119" s="211" t="s">
        <v>618</v>
      </c>
      <c r="C119" s="292"/>
      <c r="D119" s="89" t="s">
        <v>619</v>
      </c>
      <c r="E119" s="131"/>
      <c r="F119" s="140">
        <v>1</v>
      </c>
      <c r="G119" s="675">
        <v>1</v>
      </c>
      <c r="H119" s="610"/>
      <c r="I119" s="210"/>
    </row>
    <row r="120" spans="1:9" ht="15" customHeight="1" x14ac:dyDescent="0.35">
      <c r="B120" s="211" t="s">
        <v>608</v>
      </c>
      <c r="C120" s="292"/>
      <c r="D120" s="89" t="s">
        <v>611</v>
      </c>
      <c r="E120" s="131"/>
      <c r="F120" s="140">
        <f>+F116+F117</f>
        <v>145.726</v>
      </c>
      <c r="G120" s="675">
        <f>+G116+G117</f>
        <v>189.67511111111111</v>
      </c>
      <c r="H120" s="610"/>
      <c r="I120" s="210"/>
    </row>
    <row r="121" spans="1:9" ht="15" customHeight="1" x14ac:dyDescent="0.35">
      <c r="B121" s="211" t="s">
        <v>561</v>
      </c>
      <c r="C121" s="292"/>
      <c r="D121" s="89" t="s">
        <v>558</v>
      </c>
      <c r="E121" s="131"/>
      <c r="F121" s="140">
        <f>+F120/Hipótesis!$C$54</f>
        <v>20.818000000000001</v>
      </c>
      <c r="G121" s="675">
        <f>+G120/Hipótesis!$C$54</f>
        <v>27.096444444444444</v>
      </c>
      <c r="H121" s="610"/>
      <c r="I121" s="210"/>
    </row>
    <row r="122" spans="1:9" ht="15" customHeight="1" x14ac:dyDescent="0.35">
      <c r="B122" s="211" t="s">
        <v>571</v>
      </c>
      <c r="C122" s="292"/>
      <c r="D122" s="89" t="s">
        <v>572</v>
      </c>
      <c r="E122" s="131"/>
      <c r="F122" s="140">
        <f>+F120*Hipótesis!$C$32</f>
        <v>14.572600000000001</v>
      </c>
      <c r="G122" s="675">
        <f>+G120*Hipótesis!$C$32</f>
        <v>18.967511111111111</v>
      </c>
      <c r="H122" s="610"/>
      <c r="I122" s="210"/>
    </row>
    <row r="123" spans="1:9" ht="15" customHeight="1" x14ac:dyDescent="0.35">
      <c r="B123" s="211" t="s">
        <v>342</v>
      </c>
      <c r="C123" s="292"/>
      <c r="D123" s="89" t="s">
        <v>343</v>
      </c>
      <c r="E123" s="131"/>
      <c r="F123" s="140">
        <f>+(F116)*Hipótesis!$C$42+Volumenes!$F$117*Hipótesis!$C$43</f>
        <v>64.238399999999999</v>
      </c>
      <c r="G123" s="675">
        <f>+(G116)*Hipótesis!$C$42+Volumenes!$F$117*Hipótesis!$C$43</f>
        <v>83.611885714285705</v>
      </c>
      <c r="H123" s="610"/>
      <c r="I123" s="210"/>
    </row>
    <row r="124" spans="1:9" ht="15" customHeight="1" x14ac:dyDescent="0.35">
      <c r="B124" s="211" t="s">
        <v>341</v>
      </c>
      <c r="C124" s="292"/>
      <c r="D124" s="89" t="s">
        <v>344</v>
      </c>
      <c r="E124" s="131"/>
      <c r="F124" s="140">
        <f>(+(F116)*Hipótesis!$C$42)/2</f>
        <v>32.119199999999999</v>
      </c>
      <c r="G124" s="675">
        <f>(+(G116)*Hipótesis!$C$42)/2</f>
        <v>41.805942857142853</v>
      </c>
      <c r="H124" s="610"/>
      <c r="I124" s="210"/>
    </row>
    <row r="125" spans="1:9" ht="15" customHeight="1" x14ac:dyDescent="0.35">
      <c r="B125" s="211" t="s">
        <v>345</v>
      </c>
      <c r="C125" s="292"/>
      <c r="D125" s="89" t="s">
        <v>347</v>
      </c>
      <c r="E125" s="131"/>
      <c r="F125" s="140">
        <f>+(F116+F117+F118)-F123</f>
        <v>84.46159999999999</v>
      </c>
      <c r="G125" s="675">
        <f>+(G116+G117+G118)-G123</f>
        <v>109.93414603174602</v>
      </c>
      <c r="H125" s="614"/>
      <c r="I125" s="210"/>
    </row>
    <row r="126" spans="1:9" ht="15" customHeight="1" x14ac:dyDescent="0.35">
      <c r="B126" s="211" t="s">
        <v>346</v>
      </c>
      <c r="C126" s="292"/>
      <c r="D126" s="89" t="s">
        <v>348</v>
      </c>
      <c r="E126" s="131"/>
      <c r="F126" s="140">
        <f>+(F116/2)-F124</f>
        <v>21.412799999999997</v>
      </c>
      <c r="G126" s="675">
        <f>+(G116/2)-G124</f>
        <v>27.870628571428568</v>
      </c>
      <c r="H126" s="610"/>
      <c r="I126" s="210"/>
    </row>
    <row r="127" spans="1:9" ht="15" customHeight="1" x14ac:dyDescent="0.35">
      <c r="A127" s="248"/>
      <c r="B127" s="211" t="s">
        <v>349</v>
      </c>
      <c r="C127" s="211"/>
      <c r="D127" s="207" t="s">
        <v>351</v>
      </c>
      <c r="E127" s="131"/>
      <c r="F127" s="140">
        <f>+F125+F123</f>
        <v>148.69999999999999</v>
      </c>
      <c r="G127" s="675">
        <f>+G125+G123</f>
        <v>193.54603174603173</v>
      </c>
      <c r="H127" s="610"/>
      <c r="I127" s="210"/>
    </row>
    <row r="128" spans="1:9" ht="15" customHeight="1" x14ac:dyDescent="0.35">
      <c r="A128" s="404"/>
      <c r="B128" s="408" t="s">
        <v>350</v>
      </c>
      <c r="C128" s="408"/>
      <c r="D128" s="242" t="s">
        <v>352</v>
      </c>
      <c r="E128" s="133"/>
      <c r="F128" s="228">
        <f>+F124+F126</f>
        <v>53.531999999999996</v>
      </c>
      <c r="G128" s="686">
        <f>+G124+G126</f>
        <v>69.676571428571421</v>
      </c>
      <c r="H128" s="611"/>
      <c r="I128" s="210"/>
    </row>
    <row r="129" spans="1:9" ht="15" customHeight="1" x14ac:dyDescent="0.35">
      <c r="A129" s="251"/>
      <c r="B129" s="211" t="s">
        <v>322</v>
      </c>
      <c r="C129" s="292"/>
      <c r="D129" s="89" t="s">
        <v>321</v>
      </c>
      <c r="E129" s="131"/>
      <c r="F129" s="134">
        <v>4</v>
      </c>
      <c r="G129" s="689">
        <v>4</v>
      </c>
      <c r="H129" s="612"/>
    </row>
    <row r="130" spans="1:9" ht="15" customHeight="1" x14ac:dyDescent="0.35">
      <c r="A130" s="55"/>
      <c r="B130" s="55" t="s">
        <v>134</v>
      </c>
      <c r="C130" s="248"/>
      <c r="D130" s="88"/>
      <c r="E130" s="131"/>
      <c r="F130" s="134">
        <v>3</v>
      </c>
      <c r="G130" s="690">
        <v>3</v>
      </c>
      <c r="H130" s="610"/>
      <c r="I130" s="65"/>
    </row>
    <row r="131" spans="1:9" ht="15" customHeight="1" x14ac:dyDescent="0.35">
      <c r="A131" s="55"/>
      <c r="B131" s="55" t="s">
        <v>135</v>
      </c>
      <c r="C131" s="248"/>
      <c r="D131" s="88" t="s">
        <v>136</v>
      </c>
      <c r="E131" s="131"/>
      <c r="F131" s="140">
        <f>+F130*E8</f>
        <v>178.5413886792453</v>
      </c>
      <c r="G131" s="675">
        <f>+G130*F8</f>
        <v>189</v>
      </c>
      <c r="H131" s="610"/>
      <c r="I131" s="116" t="s">
        <v>180</v>
      </c>
    </row>
    <row r="132" spans="1:9" ht="15" customHeight="1" x14ac:dyDescent="0.35">
      <c r="A132" s="55"/>
      <c r="B132" s="55" t="s">
        <v>152</v>
      </c>
      <c r="C132" s="248"/>
      <c r="D132" s="88" t="s">
        <v>153</v>
      </c>
      <c r="E132" s="193"/>
      <c r="F132" s="182">
        <f>+F31-F32</f>
        <v>114.61999999999999</v>
      </c>
      <c r="G132" s="675">
        <f>+G31-G32</f>
        <v>149.18793650793651</v>
      </c>
      <c r="H132" s="610"/>
      <c r="I132" s="65"/>
    </row>
    <row r="133" spans="1:9" x14ac:dyDescent="0.35">
      <c r="A133" s="55"/>
      <c r="B133" s="55" t="s">
        <v>154</v>
      </c>
      <c r="C133" s="248"/>
      <c r="D133" s="88" t="s">
        <v>155</v>
      </c>
      <c r="E133" s="192"/>
      <c r="F133" s="182">
        <f>+F132/3</f>
        <v>38.206666666666663</v>
      </c>
      <c r="G133" s="675">
        <f>+G132/3</f>
        <v>49.729312169312173</v>
      </c>
      <c r="H133" s="55"/>
      <c r="I133" s="45" t="s">
        <v>175</v>
      </c>
    </row>
    <row r="134" spans="1:9" x14ac:dyDescent="0.35">
      <c r="A134" s="58"/>
      <c r="B134" s="58"/>
      <c r="C134" s="290"/>
      <c r="D134" s="90"/>
      <c r="E134" s="133"/>
      <c r="F134" s="136"/>
      <c r="G134" s="676"/>
      <c r="H134" s="58"/>
    </row>
    <row r="135" spans="1:9" ht="15" customHeight="1" x14ac:dyDescent="0.35">
      <c r="E135" s="62"/>
      <c r="F135" s="137"/>
      <c r="G135" s="44"/>
      <c r="H135" s="62"/>
      <c r="I135" s="62"/>
    </row>
    <row r="136" spans="1:9" ht="15" customHeight="1" x14ac:dyDescent="0.4">
      <c r="B136" s="51" t="s">
        <v>96</v>
      </c>
      <c r="C136" s="51"/>
      <c r="D136" s="52"/>
      <c r="E136" s="52"/>
      <c r="F136" s="138"/>
      <c r="G136" s="44"/>
      <c r="H136" s="63"/>
      <c r="I136" s="63"/>
    </row>
    <row r="137" spans="1:9" ht="15" customHeight="1" x14ac:dyDescent="0.35">
      <c r="A137" s="251" t="s">
        <v>320</v>
      </c>
      <c r="B137" s="53" t="s">
        <v>99</v>
      </c>
      <c r="C137" s="53"/>
      <c r="D137" s="163"/>
      <c r="E137" s="229">
        <f>+[5]SANTXOLOPETEGUI!$K$99</f>
        <v>5.8548823595632076</v>
      </c>
      <c r="F137" s="230"/>
      <c r="G137" s="677"/>
      <c r="H137" s="612"/>
      <c r="I137" s="65"/>
    </row>
    <row r="138" spans="1:9" ht="15" customHeight="1" x14ac:dyDescent="0.35">
      <c r="A138" s="55"/>
      <c r="B138" s="54" t="s">
        <v>1016</v>
      </c>
      <c r="C138" s="54"/>
      <c r="D138" s="142" t="s">
        <v>313</v>
      </c>
      <c r="E138" s="215"/>
      <c r="F138" s="140">
        <f>+[5]SANTXOLOPETEGUI!$K$105</f>
        <v>4.8507609513338314</v>
      </c>
      <c r="G138" s="675">
        <f t="shared" ref="G138:G139" si="6">(F138*(($G$8-$F$8)/$F$8))+F138</f>
        <v>6.3136888572916536</v>
      </c>
      <c r="H138" s="610"/>
      <c r="I138" s="231"/>
    </row>
    <row r="139" spans="1:9" ht="15" customHeight="1" x14ac:dyDescent="0.35">
      <c r="A139" s="55"/>
      <c r="B139" s="54" t="s">
        <v>1017</v>
      </c>
      <c r="C139" s="54"/>
      <c r="D139" s="142" t="s">
        <v>314</v>
      </c>
      <c r="E139" s="215"/>
      <c r="F139" s="140">
        <f>+[5]SANTXOLOPETEGUI!$K$108</f>
        <v>3.3952694169116828</v>
      </c>
      <c r="G139" s="675">
        <f t="shared" si="6"/>
        <v>4.4192395585199682</v>
      </c>
      <c r="H139" s="610"/>
      <c r="I139" s="65"/>
    </row>
    <row r="140" spans="1:9" ht="15" customHeight="1" x14ac:dyDescent="0.35">
      <c r="A140" s="55"/>
      <c r="B140" s="55" t="s">
        <v>301</v>
      </c>
      <c r="C140" s="55"/>
      <c r="D140" s="207" t="s">
        <v>311</v>
      </c>
      <c r="E140" s="215"/>
      <c r="F140" s="134">
        <v>2</v>
      </c>
      <c r="G140" s="674">
        <v>2</v>
      </c>
      <c r="H140" s="610"/>
      <c r="I140" s="65"/>
    </row>
    <row r="141" spans="1:9" ht="15" customHeight="1" x14ac:dyDescent="0.35">
      <c r="A141" s="55"/>
      <c r="B141" s="55" t="s">
        <v>316</v>
      </c>
      <c r="C141" s="55"/>
      <c r="D141" s="207" t="s">
        <v>317</v>
      </c>
      <c r="E141" s="215"/>
      <c r="F141" s="134">
        <f>+F140</f>
        <v>2</v>
      </c>
      <c r="G141" s="674">
        <f>+G140</f>
        <v>2</v>
      </c>
      <c r="H141" s="610"/>
      <c r="I141" s="65"/>
    </row>
    <row r="142" spans="1:9" ht="15" customHeight="1" x14ac:dyDescent="0.35">
      <c r="A142" s="55"/>
      <c r="B142" s="55" t="s">
        <v>302</v>
      </c>
      <c r="C142" s="55"/>
      <c r="D142" s="207" t="s">
        <v>312</v>
      </c>
      <c r="E142" s="215"/>
      <c r="F142" s="134">
        <v>2</v>
      </c>
      <c r="G142" s="674">
        <v>2</v>
      </c>
      <c r="H142" s="610"/>
      <c r="I142" s="65"/>
    </row>
    <row r="143" spans="1:9" ht="15" customHeight="1" x14ac:dyDescent="0.35">
      <c r="A143" s="58"/>
      <c r="B143" s="58" t="s">
        <v>318</v>
      </c>
      <c r="C143" s="58"/>
      <c r="D143" s="242" t="s">
        <v>319</v>
      </c>
      <c r="E143" s="406"/>
      <c r="F143" s="407">
        <f>+F142</f>
        <v>2</v>
      </c>
      <c r="G143" s="676">
        <f>+G142</f>
        <v>2</v>
      </c>
      <c r="H143" s="611"/>
      <c r="I143" s="65"/>
    </row>
    <row r="144" spans="1:9" ht="15" customHeight="1" x14ac:dyDescent="0.35">
      <c r="B144" s="54" t="s">
        <v>364</v>
      </c>
      <c r="C144" s="54"/>
      <c r="D144" s="142" t="s">
        <v>365</v>
      </c>
      <c r="E144" s="225"/>
      <c r="F144" s="150">
        <v>4</v>
      </c>
      <c r="G144" s="677">
        <v>4</v>
      </c>
      <c r="H144" s="612"/>
      <c r="I144" s="65"/>
    </row>
    <row r="145" spans="1:9" ht="15" customHeight="1" x14ac:dyDescent="0.35">
      <c r="B145" s="54" t="s">
        <v>366</v>
      </c>
      <c r="C145" s="54"/>
      <c r="D145" s="142" t="s">
        <v>367</v>
      </c>
      <c r="E145" s="225"/>
      <c r="F145" s="150">
        <v>4</v>
      </c>
      <c r="G145" s="674">
        <v>4</v>
      </c>
      <c r="H145" s="610"/>
      <c r="I145" s="65"/>
    </row>
    <row r="146" spans="1:9" ht="15" customHeight="1" x14ac:dyDescent="0.35">
      <c r="B146" s="54" t="s">
        <v>105</v>
      </c>
      <c r="C146" s="54"/>
      <c r="D146" s="142" t="s">
        <v>107</v>
      </c>
      <c r="E146" s="225">
        <f>+Hipótesis!$D$29*(Hipótesis!$C$20+Hipótesis!$C$21)</f>
        <v>0.69839999999999991</v>
      </c>
      <c r="F146" s="150">
        <f>+(E146*$E$5)/$D$5</f>
        <v>0.83047121346324171</v>
      </c>
      <c r="G146" s="675">
        <f t="shared" ref="G146:G147" si="7">(F146*(($G$8-$F$8)/$F$8))+F146</f>
        <v>1.0809307857775527</v>
      </c>
      <c r="H146" s="614"/>
      <c r="I146" s="65"/>
    </row>
    <row r="147" spans="1:9" ht="15" customHeight="1" x14ac:dyDescent="0.35">
      <c r="B147" s="223" t="s">
        <v>106</v>
      </c>
      <c r="C147" s="223"/>
      <c r="D147" s="142"/>
      <c r="E147" s="226">
        <f>+Hipótesis!D29*Hipótesis!C22</f>
        <v>2.1599999999999998E-2</v>
      </c>
      <c r="F147" s="150">
        <f t="shared" ref="F147" si="8">+(E147*$E$5)/$D$5</f>
        <v>2.5684676705048714E-2</v>
      </c>
      <c r="G147" s="675">
        <f t="shared" si="7"/>
        <v>3.3430849044666582E-2</v>
      </c>
      <c r="H147" s="610"/>
      <c r="I147" s="65"/>
    </row>
    <row r="148" spans="1:9" ht="15" customHeight="1" x14ac:dyDescent="0.35">
      <c r="A148" s="45" t="s">
        <v>645</v>
      </c>
      <c r="B148" s="55" t="s">
        <v>1118</v>
      </c>
      <c r="C148" s="55"/>
      <c r="D148" s="207" t="s">
        <v>636</v>
      </c>
      <c r="E148" s="226"/>
      <c r="F148" s="159">
        <v>7</v>
      </c>
      <c r="G148" s="674">
        <v>7</v>
      </c>
      <c r="H148" s="610"/>
      <c r="I148" s="116" t="s">
        <v>635</v>
      </c>
    </row>
    <row r="149" spans="1:9" ht="15" customHeight="1" x14ac:dyDescent="0.35">
      <c r="B149" s="55" t="s">
        <v>1119</v>
      </c>
      <c r="C149" s="55"/>
      <c r="D149" s="207" t="s">
        <v>637</v>
      </c>
      <c r="E149" s="226"/>
      <c r="F149" s="159">
        <v>9</v>
      </c>
      <c r="G149" s="674">
        <v>9</v>
      </c>
      <c r="H149" s="610"/>
      <c r="I149" s="116" t="s">
        <v>635</v>
      </c>
    </row>
    <row r="150" spans="1:9" ht="15" customHeight="1" x14ac:dyDescent="0.35">
      <c r="B150" s="55" t="s">
        <v>640</v>
      </c>
      <c r="C150" s="55"/>
      <c r="D150" s="142" t="s">
        <v>638</v>
      </c>
      <c r="E150" s="138"/>
      <c r="F150" s="575">
        <v>5</v>
      </c>
      <c r="G150" s="674">
        <v>5</v>
      </c>
      <c r="H150" s="610"/>
      <c r="I150" s="65" t="s">
        <v>1007</v>
      </c>
    </row>
    <row r="151" spans="1:9" ht="15" customHeight="1" x14ac:dyDescent="0.35">
      <c r="B151" s="55" t="s">
        <v>641</v>
      </c>
      <c r="C151" s="55"/>
      <c r="D151" s="142" t="s">
        <v>642</v>
      </c>
      <c r="E151" s="138"/>
      <c r="F151" s="145">
        <v>4</v>
      </c>
      <c r="G151" s="674">
        <v>4</v>
      </c>
      <c r="H151" s="610"/>
      <c r="I151" s="65"/>
    </row>
    <row r="152" spans="1:9" ht="15" customHeight="1" x14ac:dyDescent="0.35">
      <c r="B152" s="55" t="s">
        <v>1120</v>
      </c>
      <c r="C152" s="55"/>
      <c r="D152" s="142" t="s">
        <v>643</v>
      </c>
      <c r="E152" s="225"/>
      <c r="F152" s="159">
        <f>+F148*F161</f>
        <v>1540</v>
      </c>
      <c r="G152" s="674">
        <f>+G148*G161</f>
        <v>2100</v>
      </c>
      <c r="H152" s="610"/>
      <c r="I152" s="65"/>
    </row>
    <row r="153" spans="1:9" ht="15" customHeight="1" x14ac:dyDescent="0.35">
      <c r="B153" s="55" t="s">
        <v>1121</v>
      </c>
      <c r="C153" s="55"/>
      <c r="D153" s="142" t="s">
        <v>644</v>
      </c>
      <c r="E153" s="225"/>
      <c r="F153" s="159">
        <f>+F149*F162</f>
        <v>648</v>
      </c>
      <c r="G153" s="674">
        <f>+G149*G162</f>
        <v>720</v>
      </c>
      <c r="H153" s="610"/>
      <c r="I153" s="65"/>
    </row>
    <row r="154" spans="1:9" ht="15" customHeight="1" x14ac:dyDescent="0.35">
      <c r="B154" s="55" t="s">
        <v>1122</v>
      </c>
      <c r="C154" s="55"/>
      <c r="D154" s="142" t="s">
        <v>199</v>
      </c>
      <c r="E154" s="225">
        <f>+E152</f>
        <v>0</v>
      </c>
      <c r="F154" s="150">
        <f>+E154</f>
        <v>0</v>
      </c>
      <c r="G154" s="674">
        <f>+F154</f>
        <v>0</v>
      </c>
      <c r="H154" s="610"/>
      <c r="I154" s="65"/>
    </row>
    <row r="155" spans="1:9" ht="15" customHeight="1" x14ac:dyDescent="0.35">
      <c r="B155" s="55" t="s">
        <v>1123</v>
      </c>
      <c r="C155" s="55"/>
      <c r="D155" s="142" t="s">
        <v>200</v>
      </c>
      <c r="E155" s="225">
        <f>+E152</f>
        <v>0</v>
      </c>
      <c r="F155" s="150">
        <f>+E155</f>
        <v>0</v>
      </c>
      <c r="G155" s="674">
        <f>+F155</f>
        <v>0</v>
      </c>
      <c r="H155" s="610"/>
      <c r="I155" s="65"/>
    </row>
    <row r="156" spans="1:9" ht="15" customHeight="1" x14ac:dyDescent="0.35">
      <c r="A156" s="45" t="s">
        <v>646</v>
      </c>
      <c r="B156" s="91" t="s">
        <v>392</v>
      </c>
      <c r="C156" s="91"/>
      <c r="D156" s="142"/>
      <c r="E156" s="224"/>
      <c r="F156" s="159">
        <v>2</v>
      </c>
      <c r="G156" s="674">
        <v>2</v>
      </c>
      <c r="H156" s="610"/>
      <c r="I156" s="65"/>
    </row>
    <row r="157" spans="1:9" ht="15" customHeight="1" x14ac:dyDescent="0.35">
      <c r="B157" s="55" t="s">
        <v>647</v>
      </c>
      <c r="C157" s="55"/>
      <c r="D157" s="142" t="s">
        <v>650</v>
      </c>
      <c r="E157" s="225"/>
      <c r="F157" s="159">
        <v>14</v>
      </c>
      <c r="G157" s="674">
        <v>14</v>
      </c>
      <c r="H157" s="610"/>
      <c r="I157" s="65"/>
    </row>
    <row r="158" spans="1:9" ht="15" customHeight="1" x14ac:dyDescent="0.35">
      <c r="B158" s="55" t="s">
        <v>648</v>
      </c>
      <c r="C158" s="55"/>
      <c r="D158" s="142" t="s">
        <v>649</v>
      </c>
      <c r="E158" s="225"/>
      <c r="F158" s="159">
        <v>14</v>
      </c>
      <c r="G158" s="674">
        <v>14</v>
      </c>
      <c r="H158" s="610"/>
      <c r="I158" s="65"/>
    </row>
    <row r="159" spans="1:9" ht="15" customHeight="1" x14ac:dyDescent="0.35">
      <c r="B159" s="55" t="s">
        <v>651</v>
      </c>
      <c r="C159" s="55"/>
      <c r="D159" s="142" t="s">
        <v>653</v>
      </c>
      <c r="E159" s="225"/>
      <c r="F159" s="159">
        <f>+F158*F5</f>
        <v>616</v>
      </c>
      <c r="G159" s="674">
        <f>+G158*G5</f>
        <v>840</v>
      </c>
      <c r="H159" s="610"/>
      <c r="I159" s="65"/>
    </row>
    <row r="160" spans="1:9" ht="15" customHeight="1" x14ac:dyDescent="0.35">
      <c r="B160" s="55" t="s">
        <v>652</v>
      </c>
      <c r="C160" s="55"/>
      <c r="D160" s="142" t="s">
        <v>654</v>
      </c>
      <c r="E160" s="225"/>
      <c r="F160" s="352">
        <f>+F157*F6</f>
        <v>252</v>
      </c>
      <c r="G160" s="674">
        <f>+G157*G6</f>
        <v>280</v>
      </c>
      <c r="H160" s="610"/>
      <c r="I160" s="65"/>
    </row>
    <row r="161" spans="1:9" ht="15" customHeight="1" x14ac:dyDescent="0.35">
      <c r="B161" s="55" t="s">
        <v>659</v>
      </c>
      <c r="C161" s="55"/>
      <c r="D161" s="142" t="s">
        <v>660</v>
      </c>
      <c r="E161" s="225"/>
      <c r="F161" s="159">
        <f>+F165*F150</f>
        <v>220</v>
      </c>
      <c r="G161" s="674">
        <f>+G165*G150</f>
        <v>300</v>
      </c>
      <c r="H161" s="610"/>
      <c r="I161" s="65"/>
    </row>
    <row r="162" spans="1:9" ht="15" customHeight="1" x14ac:dyDescent="0.35">
      <c r="B162" s="55" t="s">
        <v>661</v>
      </c>
      <c r="C162" s="55"/>
      <c r="D162" s="142" t="s">
        <v>662</v>
      </c>
      <c r="E162" s="225"/>
      <c r="F162" s="159">
        <f>+F166*F151</f>
        <v>72</v>
      </c>
      <c r="G162" s="674">
        <f>+G166*G151</f>
        <v>80</v>
      </c>
      <c r="H162" s="610"/>
      <c r="I162" s="65"/>
    </row>
    <row r="163" spans="1:9" ht="15" customHeight="1" x14ac:dyDescent="0.35">
      <c r="B163" s="55" t="s">
        <v>664</v>
      </c>
      <c r="C163" s="55"/>
      <c r="D163" s="142" t="s">
        <v>666</v>
      </c>
      <c r="E163" s="225"/>
      <c r="F163" s="159">
        <f>+(F165*F150)/2</f>
        <v>110</v>
      </c>
      <c r="G163" s="674">
        <f>+(G165*G150)/2</f>
        <v>150</v>
      </c>
      <c r="H163" s="610"/>
      <c r="I163" s="65"/>
    </row>
    <row r="164" spans="1:9" ht="15" customHeight="1" x14ac:dyDescent="0.35">
      <c r="B164" s="55" t="s">
        <v>665</v>
      </c>
      <c r="C164" s="55"/>
      <c r="D164" s="142" t="s">
        <v>667</v>
      </c>
      <c r="E164" s="225"/>
      <c r="F164" s="159">
        <f>+(F166*F151)/2</f>
        <v>36</v>
      </c>
      <c r="G164" s="674">
        <f>+(G166*G151)/2</f>
        <v>40</v>
      </c>
      <c r="H164" s="610"/>
      <c r="I164" s="65"/>
    </row>
    <row r="165" spans="1:9" ht="15" customHeight="1" x14ac:dyDescent="0.35">
      <c r="B165" s="91" t="s">
        <v>632</v>
      </c>
      <c r="C165" s="91"/>
      <c r="D165" s="207"/>
      <c r="E165" s="138"/>
      <c r="F165" s="145">
        <f t="shared" ref="F165:G167" si="9">+F5</f>
        <v>44</v>
      </c>
      <c r="G165" s="674">
        <f t="shared" si="9"/>
        <v>60</v>
      </c>
      <c r="H165" s="55"/>
    </row>
    <row r="166" spans="1:9" ht="15" customHeight="1" x14ac:dyDescent="0.35">
      <c r="B166" s="91" t="s">
        <v>633</v>
      </c>
      <c r="C166" s="91"/>
      <c r="D166" s="207"/>
      <c r="E166" s="138"/>
      <c r="F166" s="145">
        <f t="shared" si="9"/>
        <v>18</v>
      </c>
      <c r="G166" s="674">
        <f t="shared" si="9"/>
        <v>20</v>
      </c>
      <c r="H166" s="55"/>
    </row>
    <row r="167" spans="1:9" ht="15" customHeight="1" x14ac:dyDescent="0.35">
      <c r="B167" s="91" t="s">
        <v>634</v>
      </c>
      <c r="C167" s="91"/>
      <c r="D167" s="207" t="s">
        <v>776</v>
      </c>
      <c r="E167" s="138"/>
      <c r="F167" s="145">
        <f t="shared" si="9"/>
        <v>1</v>
      </c>
      <c r="G167" s="674">
        <f t="shared" si="9"/>
        <v>2</v>
      </c>
      <c r="H167" s="55"/>
    </row>
    <row r="168" spans="1:9" ht="15" customHeight="1" x14ac:dyDescent="0.35">
      <c r="B168" s="91" t="s">
        <v>391</v>
      </c>
      <c r="C168" s="91"/>
      <c r="D168" s="207"/>
      <c r="E168" s="138"/>
      <c r="F168" s="145">
        <v>2</v>
      </c>
      <c r="G168" s="674">
        <v>2</v>
      </c>
      <c r="H168" s="55"/>
      <c r="I168" s="45" t="s">
        <v>639</v>
      </c>
    </row>
    <row r="169" spans="1:9" ht="15" customHeight="1" x14ac:dyDescent="0.35">
      <c r="B169" s="91" t="s">
        <v>656</v>
      </c>
      <c r="C169" s="91"/>
      <c r="D169" s="207" t="s">
        <v>657</v>
      </c>
      <c r="E169" s="138"/>
      <c r="F169" s="145">
        <f>+(F166*F151)/F168</f>
        <v>36</v>
      </c>
      <c r="G169" s="675">
        <f t="shared" ref="G169" si="10">(F169*(($G$8-$F$8)/$F$8))+F169</f>
        <v>46.857142857142854</v>
      </c>
      <c r="H169" s="55"/>
    </row>
    <row r="170" spans="1:9" ht="15" customHeight="1" x14ac:dyDescent="0.35">
      <c r="A170" s="404"/>
      <c r="B170" s="58" t="s">
        <v>655</v>
      </c>
      <c r="C170" s="58"/>
      <c r="D170" s="402" t="s">
        <v>658</v>
      </c>
      <c r="E170" s="405"/>
      <c r="F170" s="403">
        <f>(+F165*F150)/F168</f>
        <v>110</v>
      </c>
      <c r="G170" s="686">
        <f>(F170*(($G$8-$F$8)/$F$8))+F170</f>
        <v>143.17460317460316</v>
      </c>
      <c r="H170" s="58"/>
    </row>
    <row r="171" spans="1:9" ht="15" customHeight="1" x14ac:dyDescent="0.35">
      <c r="A171" s="45" t="s">
        <v>401</v>
      </c>
      <c r="B171" s="55" t="s">
        <v>402</v>
      </c>
      <c r="C171" s="55"/>
      <c r="D171" s="142" t="s">
        <v>407</v>
      </c>
      <c r="E171" s="44"/>
      <c r="F171" s="222">
        <f>+F42*Hipótesis!$C$6</f>
        <v>37.893158599618836</v>
      </c>
      <c r="G171" s="678">
        <f>+G42*Hipótesis!$C$6</f>
        <v>49.321254050297533</v>
      </c>
      <c r="H171" s="251"/>
    </row>
    <row r="172" spans="1:9" ht="15" customHeight="1" x14ac:dyDescent="0.35">
      <c r="B172" s="55" t="s">
        <v>403</v>
      </c>
      <c r="C172" s="55"/>
      <c r="D172" s="142" t="s">
        <v>408</v>
      </c>
      <c r="E172" s="44"/>
      <c r="F172" s="222">
        <f>+F43*Hipótesis!$C$6</f>
        <v>25.262105733079224</v>
      </c>
      <c r="G172" s="675">
        <f>+G43*Hipótesis!$C$6</f>
        <v>32.880836033531693</v>
      </c>
      <c r="H172" s="55"/>
    </row>
    <row r="173" spans="1:9" ht="15" customHeight="1" x14ac:dyDescent="0.35">
      <c r="B173" s="55" t="s">
        <v>404</v>
      </c>
      <c r="C173" s="55"/>
      <c r="D173" s="142" t="s">
        <v>409</v>
      </c>
      <c r="E173" s="44"/>
      <c r="F173" s="222">
        <f>+F43*Hipótesis!$C$8</f>
        <v>0.70172515925220069</v>
      </c>
      <c r="G173" s="675">
        <f>+G43*Hipótesis!$C$8</f>
        <v>0.91335655648699143</v>
      </c>
      <c r="H173" s="55"/>
    </row>
    <row r="174" spans="1:9" ht="15" customHeight="1" x14ac:dyDescent="0.35">
      <c r="B174" s="55" t="s">
        <v>405</v>
      </c>
      <c r="C174" s="55"/>
      <c r="D174" s="142"/>
      <c r="E174" s="44"/>
      <c r="F174" s="145">
        <f>+F43*Hipótesis!C9</f>
        <v>0</v>
      </c>
      <c r="G174" s="674"/>
      <c r="H174" s="55"/>
    </row>
    <row r="175" spans="1:9" ht="15" customHeight="1" x14ac:dyDescent="0.35">
      <c r="B175" s="55" t="s">
        <v>406</v>
      </c>
      <c r="C175" s="55"/>
      <c r="D175" s="142" t="s">
        <v>410</v>
      </c>
      <c r="E175" s="44"/>
      <c r="F175" s="150">
        <v>2</v>
      </c>
      <c r="G175" s="674">
        <v>2</v>
      </c>
      <c r="H175" s="253"/>
    </row>
    <row r="176" spans="1:9" ht="15" customHeight="1" x14ac:dyDescent="0.35">
      <c r="B176" s="55"/>
      <c r="C176" s="55"/>
      <c r="D176" s="142"/>
      <c r="E176" s="44"/>
      <c r="F176" s="145" t="e">
        <f>+F172/$F$174</f>
        <v>#DIV/0!</v>
      </c>
      <c r="G176" s="674"/>
      <c r="H176" s="55"/>
    </row>
    <row r="177" spans="1:9" ht="15" customHeight="1" x14ac:dyDescent="0.35">
      <c r="A177" s="404"/>
      <c r="B177" s="58"/>
      <c r="C177" s="58"/>
      <c r="D177" s="402"/>
      <c r="E177" s="405"/>
      <c r="F177" s="403"/>
      <c r="G177" s="676"/>
      <c r="H177" s="58"/>
    </row>
    <row r="178" spans="1:9" ht="15" customHeight="1" x14ac:dyDescent="0.35">
      <c r="A178" s="45" t="s">
        <v>594</v>
      </c>
      <c r="B178" s="55" t="s">
        <v>597</v>
      </c>
      <c r="C178" s="55"/>
      <c r="D178" s="142" t="s">
        <v>599</v>
      </c>
      <c r="E178" s="44"/>
      <c r="F178" s="145">
        <v>25</v>
      </c>
      <c r="G178" s="677">
        <v>25</v>
      </c>
      <c r="H178" s="251"/>
      <c r="I178" s="200" t="s">
        <v>595</v>
      </c>
    </row>
    <row r="179" spans="1:9" ht="15" customHeight="1" x14ac:dyDescent="0.35">
      <c r="B179" s="55" t="s">
        <v>620</v>
      </c>
      <c r="C179" s="55"/>
      <c r="D179" s="142" t="s">
        <v>607</v>
      </c>
      <c r="E179" s="44"/>
      <c r="F179" s="145">
        <v>1</v>
      </c>
      <c r="G179" s="674">
        <v>1</v>
      </c>
      <c r="H179" s="55"/>
      <c r="I179" s="200"/>
    </row>
    <row r="180" spans="1:9" ht="15" customHeight="1" x14ac:dyDescent="0.35">
      <c r="B180" s="55" t="s">
        <v>621</v>
      </c>
      <c r="C180" s="55"/>
      <c r="D180" s="142" t="s">
        <v>622</v>
      </c>
      <c r="E180" s="44"/>
      <c r="F180" s="150">
        <f>+F179+F51</f>
        <v>3.9739999999999998</v>
      </c>
      <c r="G180" s="675">
        <f>+G179+G51</f>
        <v>4.8709206349206351</v>
      </c>
      <c r="H180" s="55"/>
      <c r="I180" s="200"/>
    </row>
    <row r="181" spans="1:9" ht="15" customHeight="1" x14ac:dyDescent="0.35">
      <c r="B181" s="55" t="s">
        <v>596</v>
      </c>
      <c r="C181" s="55"/>
      <c r="D181" s="142" t="s">
        <v>598</v>
      </c>
      <c r="E181" s="44"/>
      <c r="F181" s="188">
        <f>+F32-F178-F179</f>
        <v>8.0799999999999983</v>
      </c>
      <c r="G181" s="675">
        <f>+G32-G178-G179</f>
        <v>18.358095238095231</v>
      </c>
      <c r="H181" s="55"/>
    </row>
    <row r="182" spans="1:9" ht="15" customHeight="1" x14ac:dyDescent="0.35">
      <c r="B182" s="55" t="s">
        <v>596</v>
      </c>
      <c r="C182" s="55"/>
      <c r="D182" s="142" t="s">
        <v>604</v>
      </c>
      <c r="E182" s="44"/>
      <c r="F182" s="188">
        <f>+F181</f>
        <v>8.0799999999999983</v>
      </c>
      <c r="G182" s="675">
        <f>+G181</f>
        <v>18.358095238095231</v>
      </c>
      <c r="H182" s="55"/>
      <c r="I182" s="45" t="s">
        <v>606</v>
      </c>
    </row>
    <row r="183" spans="1:9" ht="15" customHeight="1" x14ac:dyDescent="0.35">
      <c r="B183" s="55" t="s">
        <v>600</v>
      </c>
      <c r="C183" s="55"/>
      <c r="D183" s="142" t="s">
        <v>601</v>
      </c>
      <c r="E183" s="44"/>
      <c r="F183" s="188">
        <f>+F181</f>
        <v>8.0799999999999983</v>
      </c>
      <c r="G183" s="675">
        <f>+G181</f>
        <v>18.358095238095231</v>
      </c>
      <c r="H183" s="55"/>
    </row>
    <row r="184" spans="1:9" ht="15" customHeight="1" x14ac:dyDescent="0.35">
      <c r="A184" s="290"/>
      <c r="B184" s="58"/>
      <c r="C184" s="58"/>
      <c r="D184" s="402"/>
      <c r="E184" s="58"/>
      <c r="F184" s="403"/>
      <c r="G184" s="676"/>
      <c r="H184" s="58"/>
    </row>
    <row r="185" spans="1:9" ht="15" customHeight="1" x14ac:dyDescent="0.35">
      <c r="A185" s="251" t="s">
        <v>683</v>
      </c>
      <c r="B185" s="251" t="s">
        <v>684</v>
      </c>
      <c r="C185" s="251"/>
      <c r="D185" s="241"/>
      <c r="E185" s="621"/>
      <c r="F185" s="621"/>
      <c r="G185" s="639"/>
      <c r="H185" s="621"/>
    </row>
    <row r="186" spans="1:9" ht="15" customHeight="1" x14ac:dyDescent="0.35">
      <c r="A186" s="55"/>
      <c r="B186" s="55" t="s">
        <v>685</v>
      </c>
      <c r="C186" s="55"/>
      <c r="D186" s="207" t="s">
        <v>686</v>
      </c>
      <c r="E186" s="207"/>
      <c r="F186" s="622">
        <f>+F5</f>
        <v>44</v>
      </c>
      <c r="G186" s="675">
        <f>+G5</f>
        <v>60</v>
      </c>
      <c r="H186" s="619"/>
    </row>
    <row r="187" spans="1:9" ht="15" customHeight="1" x14ac:dyDescent="0.35">
      <c r="A187" s="55"/>
      <c r="B187" s="55" t="s">
        <v>687</v>
      </c>
      <c r="C187" s="617"/>
      <c r="D187" s="618" t="s">
        <v>688</v>
      </c>
      <c r="E187" s="619"/>
      <c r="F187" s="622">
        <f>+(F6+F7)</f>
        <v>19</v>
      </c>
      <c r="G187" s="675">
        <f>+(G6+G7)</f>
        <v>22</v>
      </c>
      <c r="H187" s="619"/>
    </row>
    <row r="188" spans="1:9" ht="15" customHeight="1" x14ac:dyDescent="0.35">
      <c r="A188" s="55"/>
      <c r="B188" s="615" t="s">
        <v>692</v>
      </c>
      <c r="C188" s="615"/>
      <c r="D188" s="619" t="s">
        <v>690</v>
      </c>
      <c r="E188" s="619"/>
      <c r="F188" s="623">
        <f>+(((F5*5)*0.2)/20)+(((F5*5)*0.8)/200)</f>
        <v>3.08</v>
      </c>
      <c r="G188" s="675">
        <f>+(((G5*5)*0.2)/20)+(((G5*5)*0.8)/200)</f>
        <v>4.2</v>
      </c>
      <c r="H188" s="619"/>
      <c r="I188" s="45" t="s">
        <v>689</v>
      </c>
    </row>
    <row r="189" spans="1:9" ht="15" customHeight="1" x14ac:dyDescent="0.35">
      <c r="A189" s="55"/>
      <c r="B189" s="615" t="s">
        <v>691</v>
      </c>
      <c r="C189" s="615"/>
      <c r="D189" s="619" t="s">
        <v>693</v>
      </c>
      <c r="E189" s="619"/>
      <c r="F189" s="623">
        <f>(((44*5)*0.2)/20)+(((44*5)*0.8)/200)</f>
        <v>3.08</v>
      </c>
      <c r="G189" s="675">
        <f>(((44*5)*0.2)/20)+(((44*5)*0.8)/200)</f>
        <v>3.08</v>
      </c>
      <c r="H189" s="619"/>
      <c r="I189" s="45" t="s">
        <v>689</v>
      </c>
    </row>
    <row r="190" spans="1:9" ht="15" customHeight="1" x14ac:dyDescent="0.35">
      <c r="A190" s="55"/>
      <c r="B190" s="615" t="s">
        <v>696</v>
      </c>
      <c r="C190" s="615"/>
      <c r="D190" s="619"/>
      <c r="E190" s="619"/>
      <c r="F190" s="623">
        <f t="shared" ref="F190:G192" si="11">+F5</f>
        <v>44</v>
      </c>
      <c r="G190" s="675">
        <f t="shared" si="11"/>
        <v>60</v>
      </c>
      <c r="H190" s="619"/>
    </row>
    <row r="191" spans="1:9" ht="15" customHeight="1" x14ac:dyDescent="0.35">
      <c r="A191" s="55"/>
      <c r="B191" s="615" t="s">
        <v>697</v>
      </c>
      <c r="C191" s="615"/>
      <c r="D191" s="619"/>
      <c r="E191" s="619"/>
      <c r="F191" s="623">
        <f t="shared" si="11"/>
        <v>18</v>
      </c>
      <c r="G191" s="675">
        <f t="shared" si="11"/>
        <v>20</v>
      </c>
      <c r="H191" s="619"/>
    </row>
    <row r="192" spans="1:9" ht="15" customHeight="1" x14ac:dyDescent="0.35">
      <c r="A192" s="55"/>
      <c r="B192" s="615" t="s">
        <v>698</v>
      </c>
      <c r="C192" s="615"/>
      <c r="D192" s="619"/>
      <c r="E192" s="619"/>
      <c r="F192" s="624">
        <f t="shared" si="11"/>
        <v>1</v>
      </c>
      <c r="G192" s="675">
        <f t="shared" si="11"/>
        <v>2</v>
      </c>
      <c r="H192" s="619"/>
    </row>
    <row r="193" spans="1:9" ht="15" customHeight="1" x14ac:dyDescent="0.35">
      <c r="A193" s="55"/>
      <c r="B193" s="615" t="s">
        <v>699</v>
      </c>
      <c r="C193" s="615"/>
      <c r="D193" s="619"/>
      <c r="E193" s="619"/>
      <c r="F193" s="624">
        <v>6</v>
      </c>
      <c r="G193" s="675">
        <v>6</v>
      </c>
      <c r="H193" s="619"/>
    </row>
    <row r="194" spans="1:9" ht="15" customHeight="1" x14ac:dyDescent="0.35">
      <c r="A194" s="55"/>
      <c r="B194" s="615" t="s">
        <v>700</v>
      </c>
      <c r="C194" s="615"/>
      <c r="D194" s="619"/>
      <c r="E194" s="619"/>
      <c r="F194" s="624">
        <f>+F190/F193</f>
        <v>7.333333333333333</v>
      </c>
      <c r="G194" s="675">
        <f>+G190/G193</f>
        <v>10</v>
      </c>
      <c r="H194" s="619"/>
    </row>
    <row r="195" spans="1:9" ht="15" customHeight="1" x14ac:dyDescent="0.35">
      <c r="A195" s="55"/>
      <c r="B195" s="615" t="s">
        <v>701</v>
      </c>
      <c r="C195" s="615"/>
      <c r="D195" s="619"/>
      <c r="E195" s="619"/>
      <c r="F195" s="624">
        <f>+F191/F193</f>
        <v>3</v>
      </c>
      <c r="G195" s="675">
        <f>+G191/G193</f>
        <v>3.3333333333333335</v>
      </c>
      <c r="H195" s="619"/>
    </row>
    <row r="196" spans="1:9" x14ac:dyDescent="0.35">
      <c r="A196" s="55"/>
      <c r="B196" s="615" t="s">
        <v>702</v>
      </c>
      <c r="C196" s="615"/>
      <c r="D196" s="619"/>
      <c r="E196" s="55"/>
      <c r="F196" s="624">
        <f>+F192/F193</f>
        <v>0.16666666666666666</v>
      </c>
      <c r="G196" s="675">
        <f>+G192/G193</f>
        <v>0.33333333333333331</v>
      </c>
      <c r="H196" s="55"/>
    </row>
    <row r="197" spans="1:9" x14ac:dyDescent="0.35">
      <c r="A197" s="55"/>
      <c r="B197" s="615" t="s">
        <v>703</v>
      </c>
      <c r="C197" s="615"/>
      <c r="D197" s="619" t="s">
        <v>705</v>
      </c>
      <c r="E197" s="55"/>
      <c r="F197" s="624">
        <f>+F188+F194</f>
        <v>10.413333333333334</v>
      </c>
      <c r="G197" s="675">
        <f>+G188+G194</f>
        <v>14.2</v>
      </c>
      <c r="H197" s="55"/>
    </row>
    <row r="198" spans="1:9" x14ac:dyDescent="0.35">
      <c r="A198" s="58"/>
      <c r="B198" s="616" t="s">
        <v>704</v>
      </c>
      <c r="C198" s="616"/>
      <c r="D198" s="620" t="s">
        <v>706</v>
      </c>
      <c r="E198" s="58"/>
      <c r="F198" s="625">
        <f>+F189+F195+F196</f>
        <v>6.246666666666667</v>
      </c>
      <c r="G198" s="686">
        <f>+G189+G195+G196</f>
        <v>6.746666666666667</v>
      </c>
      <c r="H198" s="58"/>
    </row>
    <row r="199" spans="1:9" x14ac:dyDescent="0.35">
      <c r="A199" s="251" t="s">
        <v>719</v>
      </c>
      <c r="B199" s="626" t="s">
        <v>720</v>
      </c>
      <c r="C199" s="626"/>
      <c r="D199" s="621"/>
      <c r="E199" s="251"/>
      <c r="F199" s="627">
        <v>12</v>
      </c>
      <c r="G199" s="677">
        <v>12</v>
      </c>
      <c r="H199" s="251"/>
    </row>
    <row r="200" spans="1:9" x14ac:dyDescent="0.35">
      <c r="A200" s="55"/>
      <c r="B200" s="615" t="s">
        <v>721</v>
      </c>
      <c r="C200" s="615"/>
      <c r="D200" s="619"/>
      <c r="E200" s="55"/>
      <c r="F200" s="624">
        <f>+(F5*F199)/F202</f>
        <v>21.12</v>
      </c>
      <c r="G200" s="674">
        <f>+(G5*G199)/G202</f>
        <v>28.8</v>
      </c>
      <c r="H200" s="55"/>
    </row>
    <row r="201" spans="1:9" x14ac:dyDescent="0.35">
      <c r="A201" s="55"/>
      <c r="B201" s="615" t="s">
        <v>722</v>
      </c>
      <c r="C201" s="615"/>
      <c r="D201" s="619"/>
      <c r="E201" s="55"/>
      <c r="F201" s="624">
        <f>+(F6*F199)/F202</f>
        <v>8.64</v>
      </c>
      <c r="G201" s="674">
        <f>+(G6*G199)/G202</f>
        <v>9.6</v>
      </c>
      <c r="H201" s="55"/>
    </row>
    <row r="202" spans="1:9" x14ac:dyDescent="0.35">
      <c r="A202" s="55"/>
      <c r="B202" s="615" t="s">
        <v>723</v>
      </c>
      <c r="C202" s="615"/>
      <c r="D202" s="619"/>
      <c r="E202" s="55"/>
      <c r="F202" s="624">
        <v>25</v>
      </c>
      <c r="G202" s="674">
        <v>25</v>
      </c>
      <c r="H202" s="55"/>
    </row>
    <row r="203" spans="1:9" x14ac:dyDescent="0.35">
      <c r="A203" s="55"/>
      <c r="B203" s="615" t="s">
        <v>724</v>
      </c>
      <c r="C203" s="615"/>
      <c r="D203" s="619" t="s">
        <v>725</v>
      </c>
      <c r="E203" s="55"/>
      <c r="F203" s="624">
        <f>(+F200+F201)*Hipótesis!$C$10</f>
        <v>8.3328000000000007</v>
      </c>
      <c r="G203" s="674">
        <f>(+G200+G201)*Hipótesis!$C$10</f>
        <v>10.752000000000001</v>
      </c>
      <c r="H203" s="55"/>
    </row>
    <row r="204" spans="1:9" x14ac:dyDescent="0.35">
      <c r="A204" s="55"/>
      <c r="B204" s="615" t="s">
        <v>739</v>
      </c>
      <c r="C204" s="615"/>
      <c r="D204" s="619" t="s">
        <v>740</v>
      </c>
      <c r="E204" s="55"/>
      <c r="F204" s="624">
        <f>(F5+F6)*0.28</f>
        <v>17.360000000000003</v>
      </c>
      <c r="G204" s="674">
        <f>(G5+G6)*0.28</f>
        <v>22.400000000000002</v>
      </c>
      <c r="H204" s="55"/>
    </row>
    <row r="205" spans="1:9" ht="13.15" x14ac:dyDescent="0.4">
      <c r="A205" s="58"/>
      <c r="B205" s="616" t="s">
        <v>895</v>
      </c>
      <c r="C205" s="616" t="s">
        <v>877</v>
      </c>
      <c r="D205" s="620" t="s">
        <v>896</v>
      </c>
      <c r="E205" s="58"/>
      <c r="F205" s="628">
        <v>1</v>
      </c>
      <c r="G205" s="676">
        <v>1</v>
      </c>
      <c r="H205" s="58"/>
      <c r="I205" s="432" t="s">
        <v>813</v>
      </c>
    </row>
    <row r="206" spans="1:9" x14ac:dyDescent="0.35">
      <c r="A206" s="251" t="s">
        <v>694</v>
      </c>
      <c r="B206" s="626" t="s">
        <v>726</v>
      </c>
      <c r="C206" s="626" t="s">
        <v>878</v>
      </c>
      <c r="D206" s="621" t="s">
        <v>732</v>
      </c>
      <c r="E206" s="251"/>
      <c r="F206" s="627">
        <v>2</v>
      </c>
      <c r="G206" s="677">
        <v>2</v>
      </c>
      <c r="H206" s="251"/>
    </row>
    <row r="207" spans="1:9" x14ac:dyDescent="0.35">
      <c r="A207" s="55"/>
      <c r="B207" s="615" t="s">
        <v>727</v>
      </c>
      <c r="C207" s="615" t="s">
        <v>878</v>
      </c>
      <c r="D207" s="619" t="s">
        <v>734</v>
      </c>
      <c r="E207" s="55"/>
      <c r="F207" s="629">
        <v>290</v>
      </c>
      <c r="G207" s="674">
        <v>290</v>
      </c>
      <c r="H207" s="55"/>
      <c r="I207" s="45" t="s">
        <v>863</v>
      </c>
    </row>
    <row r="208" spans="1:9" x14ac:dyDescent="0.35">
      <c r="A208" s="55"/>
      <c r="B208" s="615" t="s">
        <v>871</v>
      </c>
      <c r="C208" s="615" t="s">
        <v>878</v>
      </c>
      <c r="D208" s="619" t="s">
        <v>872</v>
      </c>
      <c r="E208" s="55"/>
      <c r="F208" s="629">
        <v>6</v>
      </c>
      <c r="G208" s="674">
        <v>6</v>
      </c>
      <c r="H208" s="55"/>
      <c r="I208" s="200" t="s">
        <v>813</v>
      </c>
    </row>
    <row r="209" spans="1:9" x14ac:dyDescent="0.35">
      <c r="A209" s="55"/>
      <c r="B209" s="615" t="s">
        <v>867</v>
      </c>
      <c r="C209" s="615" t="s">
        <v>878</v>
      </c>
      <c r="D209" s="619" t="s">
        <v>868</v>
      </c>
      <c r="E209" s="55"/>
      <c r="F209" s="629">
        <v>3</v>
      </c>
      <c r="G209" s="674">
        <v>3</v>
      </c>
      <c r="H209" s="55"/>
    </row>
    <row r="210" spans="1:9" x14ac:dyDescent="0.35">
      <c r="A210" s="55"/>
      <c r="B210" s="615" t="s">
        <v>1124</v>
      </c>
      <c r="C210" s="615" t="s">
        <v>878</v>
      </c>
      <c r="D210" s="619" t="s">
        <v>985</v>
      </c>
      <c r="E210" s="55"/>
      <c r="F210" s="614">
        <v>8</v>
      </c>
      <c r="G210" s="674">
        <v>8</v>
      </c>
      <c r="H210" s="55"/>
      <c r="I210" s="45" t="s">
        <v>813</v>
      </c>
    </row>
    <row r="211" spans="1:9" x14ac:dyDescent="0.35">
      <c r="A211" s="58"/>
      <c r="B211" s="616" t="s">
        <v>1125</v>
      </c>
      <c r="C211" s="616" t="s">
        <v>878</v>
      </c>
      <c r="D211" s="620" t="s">
        <v>986</v>
      </c>
      <c r="E211" s="58"/>
      <c r="F211" s="630">
        <v>2</v>
      </c>
      <c r="G211" s="676">
        <v>2</v>
      </c>
      <c r="H211" s="58"/>
      <c r="I211" s="45" t="s">
        <v>813</v>
      </c>
    </row>
    <row r="212" spans="1:9" x14ac:dyDescent="0.35">
      <c r="A212" s="251" t="s">
        <v>758</v>
      </c>
      <c r="B212" s="626" t="s">
        <v>759</v>
      </c>
      <c r="C212" s="626"/>
      <c r="D212" s="621" t="s">
        <v>760</v>
      </c>
      <c r="F212" s="627">
        <f>10*F213</f>
        <v>40</v>
      </c>
      <c r="G212" s="673">
        <f>10*G213</f>
        <v>40</v>
      </c>
      <c r="H212" s="251"/>
    </row>
    <row r="213" spans="1:9" x14ac:dyDescent="0.35">
      <c r="A213" s="58"/>
      <c r="B213" s="615" t="s">
        <v>805</v>
      </c>
      <c r="C213" s="616"/>
      <c r="D213" s="620" t="s">
        <v>806</v>
      </c>
      <c r="F213" s="625">
        <v>4</v>
      </c>
      <c r="G213" s="673">
        <v>4</v>
      </c>
      <c r="H213" s="58"/>
    </row>
    <row r="214" spans="1:9" x14ac:dyDescent="0.35">
      <c r="A214" s="233" t="s">
        <v>783</v>
      </c>
      <c r="B214" s="632" t="s">
        <v>784</v>
      </c>
      <c r="C214" s="632"/>
      <c r="D214" s="478" t="s">
        <v>785</v>
      </c>
      <c r="E214" s="233"/>
      <c r="F214" s="633">
        <v>12</v>
      </c>
      <c r="G214" s="679">
        <v>12</v>
      </c>
      <c r="H214" s="233"/>
      <c r="I214" s="45" t="s">
        <v>786</v>
      </c>
    </row>
    <row r="215" spans="1:9" x14ac:dyDescent="0.35">
      <c r="A215" s="251" t="s">
        <v>819</v>
      </c>
      <c r="B215" s="626" t="s">
        <v>822</v>
      </c>
      <c r="C215" s="626"/>
      <c r="D215" s="621" t="s">
        <v>820</v>
      </c>
      <c r="E215" s="251"/>
      <c r="F215" s="627">
        <f>+F5+F6+F7</f>
        <v>63</v>
      </c>
      <c r="G215" s="677">
        <f>+G5+G6+G7</f>
        <v>82</v>
      </c>
      <c r="H215" s="251"/>
    </row>
    <row r="216" spans="1:9" x14ac:dyDescent="0.35">
      <c r="A216" s="58"/>
      <c r="B216" s="616" t="s">
        <v>823</v>
      </c>
      <c r="C216" s="616"/>
      <c r="D216" s="620" t="s">
        <v>821</v>
      </c>
      <c r="E216" s="58"/>
      <c r="F216" s="625">
        <f>(+F215/8)*2</f>
        <v>15.75</v>
      </c>
      <c r="G216" s="676">
        <f>(+G215/8)*2</f>
        <v>20.5</v>
      </c>
      <c r="H216" s="58"/>
      <c r="I216" s="45" t="s">
        <v>827</v>
      </c>
    </row>
    <row r="217" spans="1:9" x14ac:dyDescent="0.35">
      <c r="A217" s="251" t="s">
        <v>830</v>
      </c>
      <c r="B217" s="626" t="s">
        <v>831</v>
      </c>
      <c r="C217" s="626"/>
      <c r="D217" s="621" t="s">
        <v>832</v>
      </c>
      <c r="E217" s="251"/>
      <c r="F217" s="627">
        <v>1</v>
      </c>
      <c r="G217" s="677">
        <v>1</v>
      </c>
      <c r="H217" s="251"/>
      <c r="I217" s="200" t="s">
        <v>735</v>
      </c>
    </row>
    <row r="218" spans="1:9" x14ac:dyDescent="0.35">
      <c r="A218" s="55"/>
      <c r="B218" s="615" t="s">
        <v>1126</v>
      </c>
      <c r="C218" s="615"/>
      <c r="D218" s="619" t="s">
        <v>841</v>
      </c>
      <c r="E218" s="55"/>
      <c r="F218" s="624">
        <v>9</v>
      </c>
      <c r="G218" s="674">
        <v>9</v>
      </c>
      <c r="H218" s="55"/>
      <c r="I218" s="45" t="s">
        <v>840</v>
      </c>
    </row>
    <row r="219" spans="1:9" x14ac:dyDescent="0.35">
      <c r="A219" s="58"/>
      <c r="B219" s="616" t="s">
        <v>839</v>
      </c>
      <c r="C219" s="616"/>
      <c r="D219" s="620" t="s">
        <v>842</v>
      </c>
      <c r="E219" s="58"/>
      <c r="F219" s="625">
        <v>10</v>
      </c>
      <c r="G219" s="676">
        <v>10</v>
      </c>
      <c r="H219" s="58"/>
    </row>
    <row r="220" spans="1:9" x14ac:dyDescent="0.35">
      <c r="A220" s="251" t="s">
        <v>849</v>
      </c>
      <c r="B220" s="626" t="s">
        <v>850</v>
      </c>
      <c r="C220" s="626"/>
      <c r="D220" s="621" t="s">
        <v>851</v>
      </c>
      <c r="E220" s="251"/>
      <c r="F220" s="627">
        <v>1</v>
      </c>
      <c r="G220" s="677">
        <v>1</v>
      </c>
      <c r="H220" s="251"/>
    </row>
    <row r="221" spans="1:9" x14ac:dyDescent="0.35">
      <c r="A221" s="55"/>
      <c r="B221" s="615" t="s">
        <v>938</v>
      </c>
      <c r="C221" s="615"/>
      <c r="D221" s="619" t="s">
        <v>939</v>
      </c>
      <c r="E221" s="55"/>
      <c r="F221" s="624">
        <v>8</v>
      </c>
      <c r="G221" s="674">
        <v>8</v>
      </c>
      <c r="H221" s="55"/>
      <c r="I221" s="45" t="s">
        <v>940</v>
      </c>
    </row>
    <row r="222" spans="1:9" x14ac:dyDescent="0.35">
      <c r="A222" s="58"/>
      <c r="B222" s="616" t="s">
        <v>941</v>
      </c>
      <c r="C222" s="616"/>
      <c r="D222" s="620" t="s">
        <v>942</v>
      </c>
      <c r="E222" s="58"/>
      <c r="F222" s="625">
        <v>2</v>
      </c>
      <c r="G222" s="676">
        <v>2</v>
      </c>
      <c r="H222" s="58"/>
    </row>
    <row r="223" spans="1:9" x14ac:dyDescent="0.35">
      <c r="A223" s="251" t="s">
        <v>873</v>
      </c>
      <c r="B223" s="626" t="s">
        <v>1127</v>
      </c>
      <c r="C223" s="626"/>
      <c r="D223" s="621" t="s">
        <v>948</v>
      </c>
      <c r="E223" s="251"/>
      <c r="F223" s="627">
        <v>6</v>
      </c>
      <c r="G223" s="677">
        <v>6</v>
      </c>
      <c r="H223" s="251"/>
      <c r="I223" s="45" t="s">
        <v>947</v>
      </c>
    </row>
    <row r="224" spans="1:9" x14ac:dyDescent="0.35">
      <c r="A224" s="58"/>
      <c r="B224" s="616" t="s">
        <v>949</v>
      </c>
      <c r="C224" s="616"/>
      <c r="D224" s="620" t="s">
        <v>950</v>
      </c>
      <c r="E224" s="58"/>
      <c r="F224" s="625">
        <v>1</v>
      </c>
      <c r="G224" s="676">
        <v>1</v>
      </c>
      <c r="H224" s="58"/>
    </row>
    <row r="225" spans="1:9" x14ac:dyDescent="0.35">
      <c r="A225" s="251" t="s">
        <v>959</v>
      </c>
      <c r="B225" s="251" t="s">
        <v>1128</v>
      </c>
      <c r="C225" s="626"/>
      <c r="D225" s="621" t="s">
        <v>960</v>
      </c>
      <c r="E225" s="251"/>
      <c r="F225" s="627">
        <v>4</v>
      </c>
      <c r="G225" s="677">
        <v>4</v>
      </c>
      <c r="H225" s="251"/>
    </row>
    <row r="226" spans="1:9" s="59" customFormat="1" x14ac:dyDescent="0.35">
      <c r="A226" s="631"/>
      <c r="B226" s="631" t="s">
        <v>983</v>
      </c>
      <c r="C226" s="616"/>
      <c r="D226" s="620" t="s">
        <v>984</v>
      </c>
      <c r="E226" s="631"/>
      <c r="F226" s="625">
        <v>1</v>
      </c>
      <c r="G226" s="680">
        <v>1</v>
      </c>
      <c r="H226" s="631"/>
    </row>
    <row r="227" spans="1:9" ht="15" customHeight="1" x14ac:dyDescent="0.35">
      <c r="A227" s="233" t="s">
        <v>964</v>
      </c>
      <c r="B227" s="233" t="s">
        <v>966</v>
      </c>
      <c r="C227" s="233"/>
      <c r="D227" s="83" t="s">
        <v>968</v>
      </c>
      <c r="E227" s="233"/>
      <c r="F227" s="633">
        <v>1.5</v>
      </c>
      <c r="G227" s="679">
        <v>1.5</v>
      </c>
      <c r="H227" s="233"/>
      <c r="I227" s="45" t="s">
        <v>972</v>
      </c>
    </row>
    <row r="228" spans="1:9" ht="15" customHeight="1" x14ac:dyDescent="0.35">
      <c r="A228" s="251" t="s">
        <v>965</v>
      </c>
      <c r="B228" s="251" t="s">
        <v>967</v>
      </c>
      <c r="C228" s="251"/>
      <c r="D228" s="241" t="s">
        <v>969</v>
      </c>
      <c r="E228" s="251"/>
      <c r="F228" s="627">
        <v>5</v>
      </c>
      <c r="G228" s="677">
        <v>5</v>
      </c>
      <c r="H228" s="251"/>
      <c r="I228" s="45" t="s">
        <v>972</v>
      </c>
    </row>
    <row r="229" spans="1:9" ht="15" customHeight="1" x14ac:dyDescent="0.35">
      <c r="A229" s="58"/>
      <c r="B229" s="58" t="s">
        <v>970</v>
      </c>
      <c r="C229" s="58"/>
      <c r="D229" s="242" t="s">
        <v>971</v>
      </c>
      <c r="E229" s="58"/>
      <c r="F229" s="625">
        <f>+F227+F228</f>
        <v>6.5</v>
      </c>
      <c r="G229" s="676">
        <f>+G227+G228</f>
        <v>6.5</v>
      </c>
      <c r="H229" s="58"/>
    </row>
    <row r="230" spans="1:9" ht="15" customHeight="1" x14ac:dyDescent="0.5">
      <c r="A230" s="251" t="s">
        <v>594</v>
      </c>
      <c r="B230" s="251" t="s">
        <v>1129</v>
      </c>
      <c r="C230" s="634"/>
      <c r="D230" s="241" t="s">
        <v>991</v>
      </c>
      <c r="E230" s="251"/>
      <c r="F230" s="627">
        <v>3</v>
      </c>
      <c r="G230" s="677">
        <v>3</v>
      </c>
      <c r="H230" s="251"/>
    </row>
    <row r="231" spans="1:9" ht="15" customHeight="1" x14ac:dyDescent="0.35">
      <c r="A231" s="58"/>
      <c r="B231" s="58" t="s">
        <v>993</v>
      </c>
      <c r="C231" s="635">
        <v>0.02</v>
      </c>
      <c r="D231" s="242" t="s">
        <v>994</v>
      </c>
      <c r="E231" s="58"/>
      <c r="F231" s="483">
        <f>+C231*F32</f>
        <v>0.68159999999999998</v>
      </c>
      <c r="G231" s="684">
        <f>+C231*G32</f>
        <v>0.8871619047619046</v>
      </c>
      <c r="H231" s="58"/>
    </row>
    <row r="232" spans="1:9" ht="15" customHeight="1" x14ac:dyDescent="0.35">
      <c r="C232" s="60"/>
      <c r="F232" s="153"/>
      <c r="G232" s="44"/>
    </row>
    <row r="233" spans="1:9" ht="15" customHeight="1" x14ac:dyDescent="0.35">
      <c r="B233" s="44"/>
      <c r="C233" s="44"/>
      <c r="F233" s="153"/>
      <c r="G233" s="44"/>
    </row>
    <row r="234" spans="1:9" ht="15" customHeight="1" x14ac:dyDescent="0.35">
      <c r="B234" s="44"/>
      <c r="C234" s="44"/>
      <c r="F234" s="153"/>
      <c r="G234" s="44"/>
    </row>
    <row r="235" spans="1:9" ht="15" customHeight="1" x14ac:dyDescent="0.35">
      <c r="B235" s="44"/>
      <c r="C235" s="44"/>
      <c r="F235" s="153"/>
      <c r="G235" s="44"/>
    </row>
    <row r="236" spans="1:9" ht="15" customHeight="1" x14ac:dyDescent="0.35">
      <c r="B236" s="45" t="s">
        <v>82</v>
      </c>
      <c r="C236" s="44"/>
      <c r="F236" s="153"/>
      <c r="G236" s="44"/>
    </row>
    <row r="237" spans="1:9" ht="15" customHeight="1" x14ac:dyDescent="0.35">
      <c r="B237" s="115" t="s">
        <v>83</v>
      </c>
      <c r="C237" s="44"/>
      <c r="F237" s="153"/>
      <c r="G237" s="44"/>
    </row>
    <row r="238" spans="1:9" ht="15" customHeight="1" x14ac:dyDescent="0.35">
      <c r="B238" s="44"/>
      <c r="C238" s="44"/>
      <c r="F238" s="153"/>
      <c r="G238" s="44"/>
    </row>
    <row r="239" spans="1:9" ht="15" customHeight="1" x14ac:dyDescent="0.35">
      <c r="B239" s="44"/>
      <c r="C239" s="44"/>
      <c r="F239" s="153"/>
      <c r="G239" s="44"/>
    </row>
    <row r="240" spans="1:9" ht="15" customHeight="1" x14ac:dyDescent="0.35">
      <c r="B240" s="44"/>
      <c r="C240" s="44"/>
      <c r="F240" s="153"/>
      <c r="G240" s="44"/>
    </row>
    <row r="241" spans="2:8" ht="15" customHeight="1" x14ac:dyDescent="0.35">
      <c r="B241" s="44"/>
      <c r="C241" s="44"/>
      <c r="F241" s="153"/>
      <c r="G241" s="44"/>
    </row>
    <row r="242" spans="2:8" ht="15" customHeight="1" x14ac:dyDescent="0.35">
      <c r="B242" s="44"/>
      <c r="C242" s="44"/>
      <c r="F242" s="153"/>
      <c r="G242" s="44"/>
    </row>
    <row r="243" spans="2:8" ht="15" customHeight="1" x14ac:dyDescent="0.35">
      <c r="B243" s="44"/>
      <c r="C243" s="44"/>
      <c r="F243" s="153"/>
      <c r="G243" s="44"/>
    </row>
    <row r="244" spans="2:8" ht="15" customHeight="1" x14ac:dyDescent="0.35">
      <c r="B244" s="44"/>
      <c r="C244" s="44"/>
      <c r="F244" s="153"/>
      <c r="G244" s="44"/>
    </row>
    <row r="245" spans="2:8" ht="15" customHeight="1" x14ac:dyDescent="0.35">
      <c r="B245" s="44"/>
      <c r="C245" s="44"/>
      <c r="F245" s="153"/>
      <c r="G245" s="44"/>
    </row>
    <row r="246" spans="2:8" ht="15" customHeight="1" x14ac:dyDescent="0.35">
      <c r="B246" s="44"/>
      <c r="C246" s="44"/>
      <c r="F246" s="153"/>
      <c r="G246" s="44"/>
    </row>
    <row r="247" spans="2:8" s="44" customFormat="1" ht="15" customHeight="1" x14ac:dyDescent="0.35">
      <c r="E247" s="45"/>
      <c r="F247" s="153"/>
      <c r="H247" s="45"/>
    </row>
    <row r="248" spans="2:8" s="44" customFormat="1" ht="15" customHeight="1" x14ac:dyDescent="0.35">
      <c r="E248" s="45"/>
      <c r="F248" s="153"/>
      <c r="H248" s="45"/>
    </row>
    <row r="249" spans="2:8" s="44" customFormat="1" ht="15" customHeight="1" x14ac:dyDescent="0.35">
      <c r="E249" s="45"/>
      <c r="F249" s="153"/>
      <c r="H249" s="45"/>
    </row>
    <row r="250" spans="2:8" s="44" customFormat="1" ht="15" customHeight="1" x14ac:dyDescent="0.35">
      <c r="E250" s="45"/>
      <c r="F250" s="153"/>
      <c r="H250" s="45"/>
    </row>
    <row r="251" spans="2:8" s="44" customFormat="1" ht="15" customHeight="1" x14ac:dyDescent="0.35">
      <c r="E251" s="45"/>
      <c r="F251" s="153"/>
      <c r="H251" s="45"/>
    </row>
    <row r="252" spans="2:8" s="44" customFormat="1" ht="15" customHeight="1" x14ac:dyDescent="0.35">
      <c r="E252" s="45"/>
      <c r="F252" s="153"/>
      <c r="H252" s="45"/>
    </row>
    <row r="253" spans="2:8" s="44" customFormat="1" ht="15" customHeight="1" x14ac:dyDescent="0.35">
      <c r="E253" s="45"/>
      <c r="F253" s="153"/>
      <c r="H253" s="45"/>
    </row>
    <row r="254" spans="2:8" s="44" customFormat="1" ht="15" customHeight="1" x14ac:dyDescent="0.35">
      <c r="E254" s="45"/>
      <c r="F254" s="153"/>
      <c r="H254" s="45"/>
    </row>
    <row r="255" spans="2:8" s="44" customFormat="1" ht="15" customHeight="1" x14ac:dyDescent="0.35">
      <c r="E255" s="45"/>
      <c r="F255" s="153"/>
      <c r="H255" s="45"/>
    </row>
    <row r="256" spans="2:8" s="44" customFormat="1" ht="15" customHeight="1" x14ac:dyDescent="0.35">
      <c r="E256" s="45"/>
      <c r="F256" s="153"/>
      <c r="H256" s="45"/>
    </row>
    <row r="257" spans="5:8" s="44" customFormat="1" ht="15" customHeight="1" x14ac:dyDescent="0.35">
      <c r="E257" s="45"/>
      <c r="F257" s="153"/>
      <c r="H257" s="45"/>
    </row>
    <row r="258" spans="5:8" s="44" customFormat="1" ht="15" customHeight="1" x14ac:dyDescent="0.35">
      <c r="E258" s="45"/>
      <c r="F258" s="153"/>
      <c r="H258" s="45"/>
    </row>
    <row r="259" spans="5:8" s="44" customFormat="1" ht="15" customHeight="1" x14ac:dyDescent="0.35">
      <c r="E259" s="45"/>
      <c r="F259" s="153"/>
      <c r="H259" s="45"/>
    </row>
    <row r="260" spans="5:8" s="44" customFormat="1" ht="15" customHeight="1" x14ac:dyDescent="0.35">
      <c r="E260" s="45"/>
      <c r="F260" s="153"/>
      <c r="H260" s="45"/>
    </row>
    <row r="261" spans="5:8" s="44" customFormat="1" ht="15" customHeight="1" x14ac:dyDescent="0.35">
      <c r="E261" s="45"/>
      <c r="F261" s="153"/>
      <c r="H261" s="45"/>
    </row>
    <row r="262" spans="5:8" s="44" customFormat="1" ht="15" customHeight="1" x14ac:dyDescent="0.35">
      <c r="E262" s="45"/>
      <c r="F262" s="153"/>
      <c r="H262" s="45"/>
    </row>
    <row r="263" spans="5:8" s="44" customFormat="1" ht="15" customHeight="1" x14ac:dyDescent="0.35">
      <c r="E263" s="45"/>
      <c r="F263" s="153"/>
      <c r="H263" s="45"/>
    </row>
    <row r="264" spans="5:8" s="44" customFormat="1" ht="15" customHeight="1" x14ac:dyDescent="0.35">
      <c r="E264" s="45"/>
      <c r="F264" s="153"/>
      <c r="H264" s="45"/>
    </row>
    <row r="265" spans="5:8" s="44" customFormat="1" ht="15" customHeight="1" x14ac:dyDescent="0.35">
      <c r="E265" s="45"/>
      <c r="F265" s="153"/>
      <c r="H265" s="45"/>
    </row>
    <row r="266" spans="5:8" s="44" customFormat="1" ht="15" customHeight="1" x14ac:dyDescent="0.35">
      <c r="E266" s="45"/>
      <c r="F266" s="153"/>
      <c r="H266" s="45"/>
    </row>
    <row r="267" spans="5:8" s="44" customFormat="1" ht="15" customHeight="1" x14ac:dyDescent="0.35">
      <c r="E267" s="45"/>
      <c r="F267" s="153"/>
      <c r="H267" s="45"/>
    </row>
    <row r="268" spans="5:8" s="44" customFormat="1" ht="15" customHeight="1" x14ac:dyDescent="0.35">
      <c r="E268" s="45"/>
      <c r="F268" s="153"/>
      <c r="H268" s="45"/>
    </row>
    <row r="269" spans="5:8" s="44" customFormat="1" ht="15" customHeight="1" x14ac:dyDescent="0.35">
      <c r="E269" s="45"/>
      <c r="F269" s="153"/>
      <c r="H269" s="45"/>
    </row>
    <row r="270" spans="5:8" s="44" customFormat="1" ht="15" customHeight="1" x14ac:dyDescent="0.35">
      <c r="E270" s="45"/>
      <c r="F270" s="153"/>
      <c r="H270" s="45"/>
    </row>
    <row r="271" spans="5:8" s="44" customFormat="1" ht="15" customHeight="1" x14ac:dyDescent="0.35">
      <c r="E271" s="45"/>
      <c r="F271" s="153"/>
      <c r="H271" s="45"/>
    </row>
    <row r="272" spans="5:8" s="44" customFormat="1" ht="15" customHeight="1" x14ac:dyDescent="0.35">
      <c r="E272" s="45"/>
      <c r="F272" s="153"/>
      <c r="H272" s="45"/>
    </row>
    <row r="273" spans="5:8" s="44" customFormat="1" ht="15" customHeight="1" x14ac:dyDescent="0.35">
      <c r="E273" s="45"/>
      <c r="F273" s="153"/>
      <c r="H273" s="45"/>
    </row>
    <row r="274" spans="5:8" s="44" customFormat="1" ht="15" customHeight="1" x14ac:dyDescent="0.35">
      <c r="E274" s="45"/>
      <c r="F274" s="153"/>
      <c r="H274" s="45"/>
    </row>
    <row r="275" spans="5:8" s="44" customFormat="1" ht="15" customHeight="1" x14ac:dyDescent="0.35">
      <c r="E275" s="45"/>
      <c r="F275" s="153"/>
      <c r="H275" s="45"/>
    </row>
    <row r="276" spans="5:8" s="44" customFormat="1" ht="15" customHeight="1" x14ac:dyDescent="0.35">
      <c r="E276" s="45"/>
      <c r="F276" s="153"/>
      <c r="H276" s="45"/>
    </row>
    <row r="277" spans="5:8" s="44" customFormat="1" ht="15" customHeight="1" x14ac:dyDescent="0.35">
      <c r="E277" s="45"/>
      <c r="F277" s="153"/>
      <c r="H277" s="45"/>
    </row>
    <row r="278" spans="5:8" s="44" customFormat="1" ht="15" customHeight="1" x14ac:dyDescent="0.35">
      <c r="E278" s="45"/>
      <c r="F278" s="153"/>
      <c r="H278" s="45"/>
    </row>
    <row r="279" spans="5:8" s="44" customFormat="1" ht="15" customHeight="1" x14ac:dyDescent="0.35">
      <c r="E279" s="45"/>
      <c r="F279" s="153"/>
      <c r="H279" s="45"/>
    </row>
    <row r="280" spans="5:8" s="44" customFormat="1" ht="15" customHeight="1" x14ac:dyDescent="0.35">
      <c r="E280" s="45"/>
      <c r="F280" s="153"/>
      <c r="H280" s="45"/>
    </row>
    <row r="281" spans="5:8" s="44" customFormat="1" ht="15" customHeight="1" x14ac:dyDescent="0.35">
      <c r="E281" s="45"/>
      <c r="F281" s="153"/>
      <c r="G281" s="45"/>
      <c r="H281" s="45"/>
    </row>
    <row r="282" spans="5:8" s="44" customFormat="1" ht="15" customHeight="1" x14ac:dyDescent="0.35">
      <c r="E282" s="45"/>
      <c r="F282" s="153"/>
      <c r="G282" s="45"/>
      <c r="H282" s="45"/>
    </row>
    <row r="283" spans="5:8" s="44" customFormat="1" ht="15" customHeight="1" x14ac:dyDescent="0.35">
      <c r="E283" s="45"/>
      <c r="F283" s="153"/>
      <c r="G283" s="45"/>
      <c r="H283" s="45"/>
    </row>
    <row r="284" spans="5:8" s="44" customFormat="1" ht="15" customHeight="1" x14ac:dyDescent="0.35">
      <c r="E284" s="45"/>
      <c r="F284" s="153"/>
      <c r="G284" s="45"/>
      <c r="H284" s="45"/>
    </row>
    <row r="285" spans="5:8" s="44" customFormat="1" ht="15" customHeight="1" x14ac:dyDescent="0.35">
      <c r="E285" s="45"/>
      <c r="F285" s="153"/>
      <c r="G285" s="45"/>
      <c r="H285" s="45"/>
    </row>
    <row r="286" spans="5:8" s="44" customFormat="1" ht="15" customHeight="1" x14ac:dyDescent="0.35">
      <c r="E286" s="45"/>
      <c r="F286" s="153"/>
      <c r="G286" s="45"/>
      <c r="H286" s="45"/>
    </row>
    <row r="287" spans="5:8" s="44" customFormat="1" ht="15" customHeight="1" x14ac:dyDescent="0.35">
      <c r="E287" s="45"/>
      <c r="F287" s="153"/>
      <c r="G287" s="45"/>
      <c r="H287" s="45"/>
    </row>
    <row r="288" spans="5:8" s="44" customFormat="1" ht="15" customHeight="1" x14ac:dyDescent="0.35">
      <c r="E288" s="45"/>
      <c r="F288" s="153"/>
      <c r="G288" s="45"/>
      <c r="H288" s="45"/>
    </row>
    <row r="289" spans="5:8" s="44" customFormat="1" ht="15" customHeight="1" x14ac:dyDescent="0.35">
      <c r="E289" s="45"/>
      <c r="F289" s="153"/>
      <c r="G289" s="45"/>
      <c r="H289" s="45"/>
    </row>
    <row r="290" spans="5:8" s="44" customFormat="1" ht="15" customHeight="1" x14ac:dyDescent="0.35">
      <c r="E290" s="45"/>
      <c r="F290" s="153"/>
      <c r="G290" s="45"/>
      <c r="H290" s="45"/>
    </row>
    <row r="291" spans="5:8" s="44" customFormat="1" ht="15" customHeight="1" x14ac:dyDescent="0.35">
      <c r="E291" s="45"/>
      <c r="F291" s="153"/>
      <c r="G291" s="45"/>
      <c r="H291" s="45"/>
    </row>
    <row r="292" spans="5:8" s="44" customFormat="1" ht="15" customHeight="1" x14ac:dyDescent="0.35">
      <c r="E292" s="45"/>
      <c r="F292" s="153"/>
      <c r="G292" s="45"/>
      <c r="H292" s="45"/>
    </row>
    <row r="293" spans="5:8" s="44" customFormat="1" ht="15" customHeight="1" x14ac:dyDescent="0.35">
      <c r="E293" s="45"/>
      <c r="F293" s="153"/>
      <c r="G293" s="45"/>
      <c r="H293" s="45"/>
    </row>
    <row r="294" spans="5:8" s="44" customFormat="1" ht="15" customHeight="1" x14ac:dyDescent="0.35">
      <c r="E294" s="45"/>
      <c r="F294" s="153"/>
      <c r="G294" s="45"/>
      <c r="H294" s="45"/>
    </row>
    <row r="295" spans="5:8" s="44" customFormat="1" ht="15" customHeight="1" x14ac:dyDescent="0.35">
      <c r="E295" s="45"/>
      <c r="F295" s="153"/>
      <c r="G295" s="45"/>
      <c r="H295" s="45"/>
    </row>
    <row r="296" spans="5:8" s="44" customFormat="1" ht="15" customHeight="1" x14ac:dyDescent="0.35">
      <c r="E296" s="45"/>
      <c r="F296" s="153"/>
      <c r="G296" s="45"/>
      <c r="H296" s="45"/>
    </row>
    <row r="297" spans="5:8" s="44" customFormat="1" ht="15" customHeight="1" x14ac:dyDescent="0.35">
      <c r="E297" s="45"/>
      <c r="F297" s="153"/>
      <c r="G297" s="45"/>
      <c r="H297" s="45"/>
    </row>
    <row r="298" spans="5:8" s="44" customFormat="1" ht="15" customHeight="1" x14ac:dyDescent="0.35">
      <c r="E298" s="45"/>
      <c r="F298" s="153"/>
      <c r="G298" s="45"/>
      <c r="H298" s="45"/>
    </row>
    <row r="299" spans="5:8" s="44" customFormat="1" ht="15" customHeight="1" x14ac:dyDescent="0.35">
      <c r="E299" s="45"/>
      <c r="F299" s="153"/>
      <c r="G299" s="45"/>
      <c r="H299" s="45"/>
    </row>
    <row r="300" spans="5:8" s="44" customFormat="1" ht="15" customHeight="1" x14ac:dyDescent="0.35">
      <c r="E300" s="45"/>
      <c r="F300" s="153"/>
      <c r="G300" s="45"/>
      <c r="H300" s="45"/>
    </row>
    <row r="301" spans="5:8" s="44" customFormat="1" ht="15" customHeight="1" x14ac:dyDescent="0.35">
      <c r="E301" s="45"/>
      <c r="F301" s="153"/>
      <c r="G301" s="45"/>
      <c r="H301" s="45"/>
    </row>
    <row r="302" spans="5:8" s="44" customFormat="1" ht="15" customHeight="1" x14ac:dyDescent="0.35">
      <c r="E302" s="45"/>
      <c r="F302" s="153"/>
      <c r="G302" s="45"/>
      <c r="H302" s="45"/>
    </row>
    <row r="303" spans="5:8" s="44" customFormat="1" ht="15" customHeight="1" x14ac:dyDescent="0.35">
      <c r="E303" s="45"/>
      <c r="F303" s="153"/>
      <c r="G303" s="45"/>
      <c r="H303" s="45"/>
    </row>
    <row r="304" spans="5:8" s="44" customFormat="1" ht="15" customHeight="1" x14ac:dyDescent="0.35">
      <c r="E304" s="45"/>
      <c r="F304" s="153"/>
      <c r="G304" s="45"/>
      <c r="H304" s="45"/>
    </row>
    <row r="305" spans="5:8" s="44" customFormat="1" ht="15" customHeight="1" x14ac:dyDescent="0.35">
      <c r="E305" s="45"/>
      <c r="F305" s="153"/>
      <c r="G305" s="45"/>
      <c r="H305" s="45"/>
    </row>
    <row r="306" spans="5:8" s="44" customFormat="1" ht="15" customHeight="1" x14ac:dyDescent="0.35">
      <c r="E306" s="45"/>
      <c r="F306" s="153"/>
      <c r="G306" s="45"/>
      <c r="H306" s="45"/>
    </row>
    <row r="307" spans="5:8" s="44" customFormat="1" ht="15" customHeight="1" x14ac:dyDescent="0.35">
      <c r="E307" s="45"/>
      <c r="F307" s="153"/>
      <c r="G307" s="45"/>
      <c r="H307" s="45"/>
    </row>
    <row r="308" spans="5:8" s="44" customFormat="1" ht="15" customHeight="1" x14ac:dyDescent="0.35">
      <c r="E308" s="45"/>
      <c r="F308" s="153"/>
      <c r="G308" s="45"/>
      <c r="H308" s="45"/>
    </row>
    <row r="309" spans="5:8" s="44" customFormat="1" ht="15" customHeight="1" x14ac:dyDescent="0.35">
      <c r="E309" s="45"/>
      <c r="F309" s="153"/>
      <c r="G309" s="45"/>
      <c r="H309" s="45"/>
    </row>
    <row r="310" spans="5:8" s="44" customFormat="1" ht="15" customHeight="1" x14ac:dyDescent="0.35">
      <c r="E310" s="45"/>
      <c r="F310" s="153"/>
      <c r="G310" s="45"/>
      <c r="H310" s="45"/>
    </row>
    <row r="311" spans="5:8" s="44" customFormat="1" ht="15" customHeight="1" x14ac:dyDescent="0.35">
      <c r="E311" s="45"/>
      <c r="F311" s="153"/>
      <c r="G311" s="45"/>
      <c r="H311" s="45"/>
    </row>
    <row r="312" spans="5:8" s="44" customFormat="1" ht="15" customHeight="1" x14ac:dyDescent="0.35">
      <c r="E312" s="45"/>
      <c r="F312" s="153"/>
      <c r="G312" s="45"/>
      <c r="H312" s="45"/>
    </row>
    <row r="313" spans="5:8" s="44" customFormat="1" ht="15" customHeight="1" x14ac:dyDescent="0.35">
      <c r="E313" s="45"/>
      <c r="F313" s="153"/>
      <c r="G313" s="45"/>
      <c r="H313" s="45"/>
    </row>
    <row r="314" spans="5:8" s="44" customFormat="1" ht="15" customHeight="1" x14ac:dyDescent="0.35">
      <c r="E314" s="45"/>
      <c r="F314" s="153"/>
      <c r="G314" s="45"/>
      <c r="H314" s="45"/>
    </row>
    <row r="315" spans="5:8" s="44" customFormat="1" ht="15" customHeight="1" x14ac:dyDescent="0.35">
      <c r="E315" s="45"/>
      <c r="F315" s="153"/>
      <c r="G315" s="45"/>
      <c r="H315" s="45"/>
    </row>
    <row r="316" spans="5:8" s="44" customFormat="1" ht="15" customHeight="1" x14ac:dyDescent="0.35">
      <c r="E316" s="45"/>
      <c r="F316" s="153"/>
      <c r="G316" s="45"/>
      <c r="H316" s="45"/>
    </row>
    <row r="317" spans="5:8" s="44" customFormat="1" ht="15" customHeight="1" x14ac:dyDescent="0.35">
      <c r="E317" s="45"/>
      <c r="F317" s="153"/>
      <c r="G317" s="45"/>
      <c r="H317" s="45"/>
    </row>
    <row r="318" spans="5:8" s="44" customFormat="1" ht="15" customHeight="1" x14ac:dyDescent="0.35">
      <c r="E318" s="45"/>
      <c r="F318" s="153"/>
      <c r="G318" s="45"/>
      <c r="H318" s="45"/>
    </row>
    <row r="319" spans="5:8" s="44" customFormat="1" ht="15" customHeight="1" x14ac:dyDescent="0.35">
      <c r="E319" s="45"/>
      <c r="F319" s="153"/>
      <c r="G319" s="45"/>
      <c r="H319" s="45"/>
    </row>
    <row r="320" spans="5:8" s="44" customFormat="1" ht="15" customHeight="1" x14ac:dyDescent="0.35">
      <c r="E320" s="45"/>
      <c r="F320" s="153"/>
      <c r="G320" s="45"/>
      <c r="H320" s="45"/>
    </row>
    <row r="321" spans="2:8" s="44" customFormat="1" ht="15" customHeight="1" x14ac:dyDescent="0.35">
      <c r="E321" s="45"/>
      <c r="F321" s="153"/>
      <c r="G321" s="45"/>
      <c r="H321" s="45"/>
    </row>
    <row r="322" spans="2:8" s="44" customFormat="1" ht="15" customHeight="1" x14ac:dyDescent="0.35">
      <c r="E322" s="45"/>
      <c r="F322" s="153"/>
      <c r="G322" s="45"/>
      <c r="H322" s="45"/>
    </row>
    <row r="323" spans="2:8" s="44" customFormat="1" ht="15" customHeight="1" x14ac:dyDescent="0.35">
      <c r="E323" s="45"/>
      <c r="F323" s="153"/>
      <c r="G323" s="45"/>
      <c r="H323" s="45"/>
    </row>
    <row r="324" spans="2:8" s="44" customFormat="1" ht="15" customHeight="1" x14ac:dyDescent="0.35">
      <c r="E324" s="45"/>
      <c r="F324" s="153"/>
      <c r="G324" s="45"/>
      <c r="H324" s="45"/>
    </row>
    <row r="325" spans="2:8" s="44" customFormat="1" ht="15" customHeight="1" x14ac:dyDescent="0.35">
      <c r="E325" s="45"/>
      <c r="F325" s="153"/>
      <c r="G325" s="45"/>
      <c r="H325" s="45"/>
    </row>
    <row r="326" spans="2:8" s="44" customFormat="1" ht="15" customHeight="1" x14ac:dyDescent="0.35">
      <c r="E326" s="45"/>
      <c r="F326" s="153"/>
      <c r="G326" s="45"/>
      <c r="H326" s="45"/>
    </row>
    <row r="327" spans="2:8" ht="15" customHeight="1" x14ac:dyDescent="0.35">
      <c r="B327" s="44"/>
      <c r="C327" s="44"/>
      <c r="F327" s="153"/>
    </row>
    <row r="328" spans="2:8" ht="15" customHeight="1" x14ac:dyDescent="0.35">
      <c r="B328" s="44"/>
      <c r="C328" s="44"/>
    </row>
    <row r="329" spans="2:8" ht="15" customHeight="1" x14ac:dyDescent="0.35">
      <c r="B329" s="44"/>
      <c r="C329" s="44"/>
    </row>
    <row r="330" spans="2:8" ht="15" customHeight="1" x14ac:dyDescent="0.35">
      <c r="B330" s="44"/>
      <c r="C330" s="44"/>
    </row>
    <row r="331" spans="2:8" ht="15" customHeight="1" x14ac:dyDescent="0.35">
      <c r="B331" s="44"/>
      <c r="C331" s="44"/>
    </row>
    <row r="332" spans="2:8" ht="15" customHeight="1" x14ac:dyDescent="0.55000000000000004">
      <c r="B332" s="57"/>
      <c r="C332" s="57"/>
      <c r="D332" s="66"/>
    </row>
    <row r="333" spans="2:8" ht="15" customHeight="1" x14ac:dyDescent="0.35"/>
    <row r="334" spans="2:8" ht="15" customHeight="1" x14ac:dyDescent="0.35">
      <c r="B334" s="60"/>
      <c r="C334" s="60"/>
      <c r="D334" s="60"/>
    </row>
    <row r="335" spans="2:8" ht="15" customHeight="1" x14ac:dyDescent="0.35">
      <c r="B335" s="44"/>
      <c r="C335" s="44"/>
    </row>
    <row r="336" spans="2:8" ht="15" customHeight="1" x14ac:dyDescent="0.35">
      <c r="B336" s="44"/>
      <c r="C336" s="44"/>
    </row>
    <row r="337" spans="2:6" ht="15" customHeight="1" x14ac:dyDescent="0.35">
      <c r="B337" s="44"/>
      <c r="C337" s="44"/>
    </row>
    <row r="338" spans="2:6" ht="15" customHeight="1" x14ac:dyDescent="0.35">
      <c r="B338" s="44"/>
      <c r="C338" s="44"/>
    </row>
    <row r="339" spans="2:6" ht="15" customHeight="1" x14ac:dyDescent="0.35">
      <c r="B339" s="44"/>
      <c r="C339" s="44"/>
    </row>
    <row r="340" spans="2:6" ht="15" customHeight="1" x14ac:dyDescent="0.35">
      <c r="B340" s="44"/>
      <c r="C340" s="44"/>
    </row>
    <row r="341" spans="2:6" ht="15" customHeight="1" x14ac:dyDescent="0.35">
      <c r="B341" s="44"/>
      <c r="C341" s="44"/>
    </row>
    <row r="342" spans="2:6" ht="15" customHeight="1" x14ac:dyDescent="0.35">
      <c r="B342" s="44"/>
      <c r="C342" s="44"/>
    </row>
    <row r="343" spans="2:6" ht="15" customHeight="1" x14ac:dyDescent="0.35">
      <c r="B343" s="44"/>
      <c r="C343" s="44"/>
    </row>
    <row r="344" spans="2:6" ht="15" customHeight="1" x14ac:dyDescent="0.35">
      <c r="B344" s="44"/>
      <c r="C344" s="44"/>
      <c r="F344" s="390"/>
    </row>
    <row r="345" spans="2:6" ht="15" customHeight="1" x14ac:dyDescent="0.35">
      <c r="B345" s="44"/>
      <c r="C345" s="44"/>
      <c r="F345" s="390"/>
    </row>
    <row r="346" spans="2:6" ht="15" customHeight="1" x14ac:dyDescent="0.35">
      <c r="B346" s="44"/>
      <c r="C346" s="44"/>
      <c r="F346" s="390"/>
    </row>
    <row r="347" spans="2:6" ht="15" customHeight="1" x14ac:dyDescent="0.35">
      <c r="B347" s="44"/>
      <c r="C347" s="44"/>
      <c r="F347" s="390"/>
    </row>
    <row r="348" spans="2:6" ht="15" customHeight="1" x14ac:dyDescent="0.35">
      <c r="B348" s="44"/>
      <c r="C348" s="44"/>
      <c r="F348" s="390"/>
    </row>
    <row r="349" spans="2:6" ht="15" customHeight="1" x14ac:dyDescent="0.35">
      <c r="B349" s="44"/>
      <c r="C349" s="44"/>
      <c r="F349" s="390"/>
    </row>
    <row r="350" spans="2:6" ht="15" customHeight="1" x14ac:dyDescent="0.35">
      <c r="B350" s="44"/>
      <c r="C350" s="44"/>
      <c r="F350" s="390"/>
    </row>
    <row r="351" spans="2:6" ht="15" customHeight="1" x14ac:dyDescent="0.35">
      <c r="B351" s="44"/>
      <c r="C351" s="44"/>
    </row>
    <row r="352" spans="2:6" ht="15" customHeight="1" x14ac:dyDescent="0.35">
      <c r="B352" s="44"/>
      <c r="C352" s="44"/>
    </row>
    <row r="353" spans="2:4" ht="15" customHeight="1" x14ac:dyDescent="0.35">
      <c r="B353" s="44"/>
      <c r="C353" s="44"/>
    </row>
    <row r="354" spans="2:4" ht="15" customHeight="1" x14ac:dyDescent="0.35">
      <c r="B354" s="44"/>
      <c r="C354" s="44"/>
    </row>
    <row r="355" spans="2:4" ht="15" customHeight="1" x14ac:dyDescent="0.35">
      <c r="B355" s="44"/>
      <c r="C355" s="44"/>
    </row>
    <row r="356" spans="2:4" ht="15" customHeight="1" x14ac:dyDescent="0.35">
      <c r="B356" s="44"/>
      <c r="C356" s="44"/>
    </row>
    <row r="357" spans="2:4" ht="15" customHeight="1" x14ac:dyDescent="0.35">
      <c r="B357" s="44"/>
      <c r="C357" s="44"/>
    </row>
    <row r="358" spans="2:4" ht="15" customHeight="1" x14ac:dyDescent="0.35">
      <c r="B358" s="44"/>
      <c r="C358" s="44"/>
    </row>
    <row r="359" spans="2:4" ht="15" customHeight="1" x14ac:dyDescent="0.35">
      <c r="B359" s="44"/>
      <c r="C359" s="44"/>
    </row>
    <row r="360" spans="2:4" ht="15" customHeight="1" x14ac:dyDescent="0.35">
      <c r="B360" s="44"/>
      <c r="C360" s="44"/>
    </row>
    <row r="361" spans="2:4" ht="15" customHeight="1" x14ac:dyDescent="0.35">
      <c r="B361" s="44"/>
      <c r="C361" s="44"/>
    </row>
    <row r="362" spans="2:4" ht="15" customHeight="1" x14ac:dyDescent="0.35">
      <c r="B362" s="44"/>
      <c r="C362" s="44"/>
    </row>
    <row r="363" spans="2:4" ht="15" customHeight="1" x14ac:dyDescent="0.35">
      <c r="B363" s="44"/>
      <c r="C363" s="44"/>
    </row>
    <row r="364" spans="2:4" ht="13.5" customHeight="1" x14ac:dyDescent="0.35">
      <c r="B364" s="44"/>
      <c r="C364" s="44"/>
    </row>
    <row r="365" spans="2:4" s="56" customFormat="1" ht="20.25" x14ac:dyDescent="0.55000000000000004">
      <c r="B365" s="44"/>
      <c r="C365" s="44"/>
      <c r="D365" s="44"/>
    </row>
    <row r="366" spans="2:4" x14ac:dyDescent="0.35">
      <c r="B366" s="44"/>
      <c r="C366" s="44"/>
    </row>
    <row r="367" spans="2:4" s="59" customFormat="1" ht="30" customHeight="1" x14ac:dyDescent="0.35">
      <c r="B367" s="44"/>
      <c r="C367" s="44"/>
      <c r="D367" s="44"/>
    </row>
    <row r="368" spans="2:4" ht="15" customHeight="1" x14ac:dyDescent="0.35">
      <c r="B368" s="44"/>
      <c r="C368" s="44"/>
    </row>
    <row r="369" spans="2:4" ht="15" customHeight="1" x14ac:dyDescent="0.35"/>
    <row r="370" spans="2:4" ht="15" customHeight="1" x14ac:dyDescent="0.55000000000000004">
      <c r="B370" s="57"/>
      <c r="C370" s="57"/>
      <c r="D370" s="66"/>
    </row>
    <row r="371" spans="2:4" ht="15" customHeight="1" x14ac:dyDescent="0.35"/>
    <row r="372" spans="2:4" ht="15" customHeight="1" x14ac:dyDescent="0.35">
      <c r="B372" s="60"/>
      <c r="C372" s="60"/>
      <c r="D372" s="60"/>
    </row>
    <row r="373" spans="2:4" ht="15" customHeight="1" x14ac:dyDescent="0.35">
      <c r="B373" s="44"/>
      <c r="C373" s="44"/>
    </row>
    <row r="374" spans="2:4" ht="15" customHeight="1" x14ac:dyDescent="0.35">
      <c r="B374" s="44"/>
      <c r="C374" s="44"/>
    </row>
    <row r="375" spans="2:4" ht="15" customHeight="1" x14ac:dyDescent="0.35">
      <c r="B375" s="44"/>
      <c r="C375" s="44"/>
    </row>
    <row r="376" spans="2:4" ht="15" customHeight="1" x14ac:dyDescent="0.35">
      <c r="B376" s="44"/>
      <c r="C376" s="44"/>
    </row>
    <row r="377" spans="2:4" ht="15" customHeight="1" x14ac:dyDescent="0.35">
      <c r="B377" s="44"/>
      <c r="C377" s="44"/>
    </row>
    <row r="378" spans="2:4" ht="15" customHeight="1" x14ac:dyDescent="0.35">
      <c r="B378" s="44"/>
      <c r="C378" s="44"/>
    </row>
    <row r="379" spans="2:4" x14ac:dyDescent="0.35">
      <c r="B379" s="44"/>
      <c r="C379" s="44"/>
    </row>
    <row r="380" spans="2:4" x14ac:dyDescent="0.35">
      <c r="B380" s="44"/>
      <c r="C380" s="44"/>
    </row>
    <row r="381" spans="2:4" x14ac:dyDescent="0.35">
      <c r="B381" s="44"/>
      <c r="C381" s="44"/>
    </row>
    <row r="382" spans="2:4" s="56" customFormat="1" ht="20.25" x14ac:dyDescent="0.55000000000000004">
      <c r="B382" s="44"/>
      <c r="C382" s="44"/>
      <c r="D382" s="44"/>
    </row>
    <row r="383" spans="2:4" x14ac:dyDescent="0.35">
      <c r="B383" s="44"/>
      <c r="C383" s="44"/>
    </row>
    <row r="384" spans="2:4" s="59" customFormat="1" ht="30" customHeight="1" x14ac:dyDescent="0.35">
      <c r="B384" s="45"/>
      <c r="C384" s="45"/>
      <c r="D384" s="44"/>
    </row>
    <row r="385" spans="2:4" ht="15" customHeight="1" x14ac:dyDescent="0.35"/>
    <row r="386" spans="2:4" ht="15" customHeight="1" x14ac:dyDescent="0.35"/>
    <row r="387" spans="2:4" ht="15" customHeight="1" x14ac:dyDescent="0.55000000000000004">
      <c r="B387" s="57"/>
      <c r="C387" s="57"/>
      <c r="D387" s="66"/>
    </row>
    <row r="388" spans="2:4" ht="15" customHeight="1" x14ac:dyDescent="0.35"/>
    <row r="389" spans="2:4" ht="15" customHeight="1" x14ac:dyDescent="0.35">
      <c r="B389" s="60"/>
      <c r="C389" s="60"/>
      <c r="D389" s="60"/>
    </row>
    <row r="390" spans="2:4" ht="15" customHeight="1" x14ac:dyDescent="0.35">
      <c r="B390" s="63"/>
      <c r="C390" s="63"/>
    </row>
    <row r="391" spans="2:4" ht="15" customHeight="1" x14ac:dyDescent="0.35">
      <c r="B391" s="63"/>
      <c r="C391" s="63"/>
    </row>
    <row r="392" spans="2:4" ht="15" customHeight="1" x14ac:dyDescent="0.35">
      <c r="B392" s="63"/>
      <c r="C392" s="63"/>
    </row>
    <row r="393" spans="2:4" ht="15" customHeight="1" x14ac:dyDescent="0.35">
      <c r="B393" s="63"/>
      <c r="C393" s="63"/>
    </row>
    <row r="394" spans="2:4" ht="15" customHeight="1" x14ac:dyDescent="0.35">
      <c r="B394" s="63"/>
      <c r="C394" s="63"/>
    </row>
    <row r="395" spans="2:4" ht="15" customHeight="1" x14ac:dyDescent="0.35">
      <c r="B395" s="63"/>
      <c r="C395" s="63"/>
    </row>
    <row r="396" spans="2:4" ht="15" customHeight="1" x14ac:dyDescent="0.35">
      <c r="B396" s="63"/>
      <c r="C396" s="63"/>
    </row>
    <row r="397" spans="2:4" ht="15" customHeight="1" x14ac:dyDescent="0.35">
      <c r="B397" s="63"/>
      <c r="C397" s="63"/>
    </row>
    <row r="398" spans="2:4" ht="15" customHeight="1" x14ac:dyDescent="0.35">
      <c r="B398" s="63"/>
      <c r="C398" s="63"/>
    </row>
    <row r="399" spans="2:4" ht="15" customHeight="1" x14ac:dyDescent="0.35">
      <c r="B399" s="63"/>
      <c r="C399" s="63"/>
    </row>
    <row r="400" spans="2:4" ht="15" customHeight="1" x14ac:dyDescent="0.35">
      <c r="B400" s="63"/>
      <c r="C400" s="63"/>
    </row>
    <row r="401" spans="2:8" ht="15" customHeight="1" x14ac:dyDescent="0.35">
      <c r="B401" s="63"/>
      <c r="C401" s="63"/>
    </row>
    <row r="402" spans="2:8" ht="15" customHeight="1" x14ac:dyDescent="0.35">
      <c r="B402" s="63"/>
      <c r="C402" s="63"/>
    </row>
    <row r="403" spans="2:8" ht="15" customHeight="1" x14ac:dyDescent="0.35">
      <c r="B403" s="63"/>
      <c r="C403" s="63"/>
    </row>
    <row r="404" spans="2:8" s="44" customFormat="1" ht="15" customHeight="1" x14ac:dyDescent="0.35">
      <c r="B404" s="63"/>
      <c r="C404" s="63"/>
      <c r="E404" s="45"/>
      <c r="F404" s="45"/>
      <c r="G404" s="45"/>
      <c r="H404" s="45"/>
    </row>
    <row r="405" spans="2:8" s="44" customFormat="1" ht="15" customHeight="1" x14ac:dyDescent="0.35">
      <c r="B405" s="63"/>
      <c r="C405" s="63"/>
      <c r="E405" s="45"/>
      <c r="F405" s="45"/>
      <c r="G405" s="45"/>
      <c r="H405" s="45"/>
    </row>
    <row r="406" spans="2:8" s="44" customFormat="1" ht="15" customHeight="1" x14ac:dyDescent="0.35">
      <c r="B406" s="63"/>
      <c r="C406" s="63"/>
      <c r="E406" s="45"/>
      <c r="F406" s="45"/>
      <c r="G406" s="45"/>
      <c r="H406" s="45"/>
    </row>
    <row r="407" spans="2:8" s="44" customFormat="1" ht="15" customHeight="1" x14ac:dyDescent="0.35">
      <c r="B407" s="63"/>
      <c r="C407" s="63"/>
      <c r="E407" s="45"/>
      <c r="F407" s="45"/>
      <c r="G407" s="45"/>
      <c r="H407" s="45"/>
    </row>
    <row r="408" spans="2:8" s="44" customFormat="1" ht="15" customHeight="1" x14ac:dyDescent="0.35">
      <c r="B408" s="63"/>
      <c r="C408" s="63"/>
      <c r="E408" s="45"/>
      <c r="F408" s="45"/>
      <c r="G408" s="45"/>
      <c r="H408" s="45"/>
    </row>
    <row r="409" spans="2:8" s="44" customFormat="1" ht="15" customHeight="1" x14ac:dyDescent="0.35">
      <c r="B409" s="63"/>
      <c r="C409" s="63"/>
      <c r="E409" s="45"/>
      <c r="F409" s="45"/>
      <c r="G409" s="45"/>
      <c r="H409" s="45"/>
    </row>
    <row r="410" spans="2:8" s="44" customFormat="1" ht="15" customHeight="1" x14ac:dyDescent="0.35">
      <c r="B410" s="63"/>
      <c r="C410" s="63"/>
      <c r="E410" s="45"/>
      <c r="F410" s="45"/>
      <c r="G410" s="45"/>
      <c r="H410" s="45"/>
    </row>
    <row r="411" spans="2:8" s="44" customFormat="1" ht="15" customHeight="1" x14ac:dyDescent="0.35">
      <c r="B411" s="63"/>
      <c r="C411" s="63"/>
      <c r="E411" s="45"/>
      <c r="F411" s="45"/>
      <c r="G411" s="45"/>
      <c r="H411" s="45"/>
    </row>
    <row r="412" spans="2:8" s="44" customFormat="1" ht="15" customHeight="1" x14ac:dyDescent="0.35">
      <c r="B412" s="63"/>
      <c r="C412" s="63"/>
      <c r="E412" s="45"/>
      <c r="F412" s="45"/>
      <c r="G412" s="45"/>
      <c r="H412" s="45"/>
    </row>
    <row r="413" spans="2:8" s="44" customFormat="1" ht="15" customHeight="1" x14ac:dyDescent="0.35">
      <c r="B413" s="63"/>
      <c r="C413" s="63"/>
      <c r="E413" s="45"/>
      <c r="F413" s="45"/>
      <c r="G413" s="45"/>
      <c r="H413" s="45"/>
    </row>
    <row r="414" spans="2:8" s="44" customFormat="1" ht="15" customHeight="1" x14ac:dyDescent="0.35">
      <c r="B414" s="63"/>
      <c r="C414" s="63"/>
      <c r="E414" s="45"/>
      <c r="F414" s="45"/>
      <c r="G414" s="45"/>
      <c r="H414" s="45"/>
    </row>
    <row r="415" spans="2:8" s="44" customFormat="1" ht="15" customHeight="1" x14ac:dyDescent="0.35">
      <c r="B415" s="63"/>
      <c r="C415" s="63"/>
      <c r="E415" s="45"/>
      <c r="F415" s="45"/>
      <c r="G415" s="45"/>
      <c r="H415" s="45"/>
    </row>
    <row r="416" spans="2:8" s="44" customFormat="1" ht="15" customHeight="1" x14ac:dyDescent="0.35">
      <c r="B416" s="63"/>
      <c r="C416" s="63"/>
      <c r="E416" s="45"/>
      <c r="F416" s="45"/>
      <c r="G416" s="45"/>
      <c r="H416" s="45"/>
    </row>
    <row r="417" spans="2:8" s="44" customFormat="1" ht="15" customHeight="1" x14ac:dyDescent="0.35">
      <c r="B417" s="63"/>
      <c r="C417" s="63"/>
      <c r="E417" s="45"/>
      <c r="F417" s="45"/>
      <c r="G417" s="45"/>
      <c r="H417" s="45"/>
    </row>
    <row r="418" spans="2:8" s="44" customFormat="1" ht="15" customHeight="1" x14ac:dyDescent="0.35">
      <c r="B418" s="63"/>
      <c r="C418" s="63"/>
      <c r="E418" s="45"/>
      <c r="F418" s="45"/>
      <c r="G418" s="45"/>
      <c r="H418" s="45"/>
    </row>
    <row r="419" spans="2:8" s="44" customFormat="1" ht="15" customHeight="1" x14ac:dyDescent="0.35">
      <c r="B419" s="63"/>
      <c r="C419" s="63"/>
      <c r="E419" s="45"/>
      <c r="F419" s="45"/>
      <c r="G419" s="45"/>
      <c r="H419" s="45"/>
    </row>
    <row r="420" spans="2:8" ht="15" customHeight="1" x14ac:dyDescent="0.35">
      <c r="B420" s="63"/>
      <c r="C420" s="63"/>
    </row>
    <row r="421" spans="2:8" ht="15" customHeight="1" x14ac:dyDescent="0.35">
      <c r="B421" s="63"/>
      <c r="C421" s="63"/>
    </row>
    <row r="422" spans="2:8" ht="15" customHeight="1" x14ac:dyDescent="0.35">
      <c r="B422" s="63"/>
      <c r="C422" s="63"/>
    </row>
    <row r="423" spans="2:8" ht="15" customHeight="1" x14ac:dyDescent="0.35">
      <c r="B423" s="63"/>
      <c r="C423" s="63"/>
    </row>
    <row r="424" spans="2:8" ht="15" customHeight="1" x14ac:dyDescent="0.35">
      <c r="B424" s="63"/>
      <c r="C424" s="63"/>
    </row>
    <row r="425" spans="2:8" ht="15" customHeight="1" x14ac:dyDescent="0.35">
      <c r="B425" s="63"/>
      <c r="C425" s="63"/>
    </row>
    <row r="426" spans="2:8" ht="15" customHeight="1" x14ac:dyDescent="0.35">
      <c r="B426" s="63"/>
      <c r="C426" s="63"/>
    </row>
    <row r="427" spans="2:8" ht="15" customHeight="1" x14ac:dyDescent="0.35">
      <c r="B427" s="63"/>
      <c r="C427" s="63"/>
    </row>
    <row r="428" spans="2:8" ht="15" customHeight="1" x14ac:dyDescent="0.35">
      <c r="B428" s="63"/>
      <c r="C428" s="63"/>
    </row>
    <row r="429" spans="2:8" ht="15" customHeight="1" x14ac:dyDescent="0.35">
      <c r="B429" s="63"/>
      <c r="C429" s="63"/>
    </row>
    <row r="430" spans="2:8" ht="15" customHeight="1" x14ac:dyDescent="0.35">
      <c r="B430" s="63"/>
      <c r="C430" s="63"/>
    </row>
    <row r="431" spans="2:8" ht="15" customHeight="1" x14ac:dyDescent="0.35">
      <c r="B431" s="63"/>
      <c r="C431" s="63"/>
    </row>
    <row r="432" spans="2:8" ht="13.5" customHeight="1" x14ac:dyDescent="0.35">
      <c r="B432" s="63"/>
      <c r="C432" s="63"/>
    </row>
    <row r="433" spans="2:4" x14ac:dyDescent="0.35">
      <c r="B433" s="63"/>
      <c r="C433" s="63"/>
    </row>
    <row r="434" spans="2:4" s="56" customFormat="1" ht="20.25" x14ac:dyDescent="0.55000000000000004">
      <c r="B434" s="63"/>
      <c r="C434" s="63"/>
      <c r="D434" s="44"/>
    </row>
    <row r="435" spans="2:4" x14ac:dyDescent="0.35">
      <c r="B435" s="63"/>
      <c r="C435" s="63"/>
    </row>
    <row r="436" spans="2:4" s="59" customFormat="1" ht="30" customHeight="1" x14ac:dyDescent="0.35">
      <c r="B436" s="44"/>
      <c r="C436" s="44"/>
      <c r="D436" s="44"/>
    </row>
    <row r="437" spans="2:4" ht="15" customHeight="1" x14ac:dyDescent="0.35"/>
    <row r="438" spans="2:4" ht="15" customHeight="1" x14ac:dyDescent="0.35"/>
    <row r="439" spans="2:4" ht="15" customHeight="1" x14ac:dyDescent="0.55000000000000004">
      <c r="B439" s="57"/>
      <c r="C439" s="57"/>
      <c r="D439" s="66"/>
    </row>
    <row r="440" spans="2:4" ht="15" customHeight="1" x14ac:dyDescent="0.35"/>
    <row r="441" spans="2:4" ht="15" customHeight="1" x14ac:dyDescent="0.35">
      <c r="B441" s="60"/>
      <c r="C441" s="60"/>
      <c r="D441" s="60"/>
    </row>
    <row r="442" spans="2:4" ht="15" customHeight="1" x14ac:dyDescent="0.35">
      <c r="B442" s="63"/>
      <c r="C442" s="63"/>
    </row>
    <row r="443" spans="2:4" ht="15" customHeight="1" x14ac:dyDescent="0.35">
      <c r="B443" s="63"/>
      <c r="C443" s="63"/>
    </row>
    <row r="444" spans="2:4" ht="15" customHeight="1" x14ac:dyDescent="0.35">
      <c r="B444" s="63"/>
      <c r="C444" s="63"/>
    </row>
    <row r="445" spans="2:4" ht="15" customHeight="1" x14ac:dyDescent="0.35">
      <c r="B445" s="63"/>
      <c r="C445" s="63"/>
    </row>
    <row r="446" spans="2:4" ht="15" customHeight="1" x14ac:dyDescent="0.35">
      <c r="B446" s="63"/>
      <c r="C446" s="63"/>
    </row>
    <row r="447" spans="2:4" ht="15" customHeight="1" x14ac:dyDescent="0.35">
      <c r="B447" s="63"/>
      <c r="C447" s="63"/>
    </row>
    <row r="448" spans="2:4" ht="15" customHeight="1" x14ac:dyDescent="0.35">
      <c r="B448" s="63"/>
      <c r="C448" s="63"/>
    </row>
    <row r="449" spans="2:4" ht="15" customHeight="1" x14ac:dyDescent="0.35">
      <c r="B449" s="63"/>
      <c r="C449" s="63"/>
    </row>
    <row r="450" spans="2:4" ht="15" customHeight="1" x14ac:dyDescent="0.35">
      <c r="B450" s="63"/>
      <c r="C450" s="63"/>
    </row>
    <row r="451" spans="2:4" ht="15" customHeight="1" x14ac:dyDescent="0.35">
      <c r="B451" s="63"/>
      <c r="C451" s="63"/>
    </row>
    <row r="452" spans="2:4" ht="15" customHeight="1" x14ac:dyDescent="0.35">
      <c r="B452" s="63"/>
      <c r="C452" s="63"/>
    </row>
    <row r="453" spans="2:4" ht="15" customHeight="1" x14ac:dyDescent="0.35">
      <c r="B453" s="63"/>
      <c r="C453" s="63"/>
    </row>
    <row r="454" spans="2:4" ht="15" customHeight="1" x14ac:dyDescent="0.35">
      <c r="B454" s="63"/>
      <c r="C454" s="63"/>
    </row>
    <row r="455" spans="2:4" ht="15" customHeight="1" x14ac:dyDescent="0.35">
      <c r="B455" s="63"/>
      <c r="C455" s="63"/>
    </row>
    <row r="456" spans="2:4" ht="15" customHeight="1" x14ac:dyDescent="0.35">
      <c r="B456" s="63"/>
      <c r="C456" s="63"/>
    </row>
    <row r="457" spans="2:4" ht="15" customHeight="1" x14ac:dyDescent="0.35">
      <c r="B457" s="63"/>
      <c r="C457" s="63"/>
    </row>
    <row r="458" spans="2:4" ht="15" customHeight="1" x14ac:dyDescent="0.35">
      <c r="B458" s="63"/>
      <c r="C458" s="63"/>
    </row>
    <row r="459" spans="2:4" ht="15" customHeight="1" x14ac:dyDescent="0.35">
      <c r="B459" s="63"/>
      <c r="C459" s="63"/>
    </row>
    <row r="460" spans="2:4" ht="15" customHeight="1" x14ac:dyDescent="0.35">
      <c r="B460" s="63"/>
      <c r="C460" s="63"/>
    </row>
    <row r="461" spans="2:4" ht="15" customHeight="1" x14ac:dyDescent="0.35">
      <c r="B461" s="63"/>
      <c r="C461" s="63"/>
    </row>
    <row r="462" spans="2:4" x14ac:dyDescent="0.35">
      <c r="B462" s="63"/>
      <c r="C462" s="63"/>
    </row>
    <row r="463" spans="2:4" x14ac:dyDescent="0.35">
      <c r="B463" s="63"/>
      <c r="C463" s="63"/>
    </row>
    <row r="464" spans="2:4" s="56" customFormat="1" ht="20.25" x14ac:dyDescent="0.55000000000000004">
      <c r="B464" s="63"/>
      <c r="C464" s="63"/>
      <c r="D464" s="44"/>
    </row>
    <row r="465" spans="2:4" s="59" customFormat="1" ht="30" customHeight="1" x14ac:dyDescent="0.35">
      <c r="B465" s="63"/>
      <c r="C465" s="63"/>
      <c r="D465" s="44"/>
    </row>
    <row r="466" spans="2:4" ht="15" customHeight="1" x14ac:dyDescent="0.35">
      <c r="B466" s="63"/>
      <c r="C466" s="63"/>
    </row>
    <row r="467" spans="2:4" ht="15" customHeight="1" x14ac:dyDescent="0.35"/>
    <row r="468" spans="2:4" ht="15" customHeight="1" x14ac:dyDescent="0.35"/>
    <row r="469" spans="2:4" ht="15" customHeight="1" x14ac:dyDescent="0.55000000000000004">
      <c r="B469" s="57"/>
      <c r="C469" s="57"/>
      <c r="D469" s="66"/>
    </row>
    <row r="470" spans="2:4" ht="15" customHeight="1" x14ac:dyDescent="0.35">
      <c r="B470" s="60"/>
      <c r="C470" s="60"/>
      <c r="D470" s="60"/>
    </row>
    <row r="471" spans="2:4" ht="15" customHeight="1" x14ac:dyDescent="0.35">
      <c r="B471" s="44"/>
      <c r="C471" s="44"/>
    </row>
    <row r="472" spans="2:4" ht="15" customHeight="1" x14ac:dyDescent="0.35">
      <c r="B472" s="44"/>
      <c r="C472" s="44"/>
    </row>
    <row r="473" spans="2:4" ht="15" customHeight="1" x14ac:dyDescent="0.35">
      <c r="B473" s="44"/>
      <c r="C473" s="44"/>
    </row>
    <row r="474" spans="2:4" ht="15" customHeight="1" x14ac:dyDescent="0.35">
      <c r="B474" s="44"/>
      <c r="C474" s="44"/>
    </row>
    <row r="475" spans="2:4" s="56" customFormat="1" ht="20.25" x14ac:dyDescent="0.55000000000000004">
      <c r="B475" s="44"/>
      <c r="C475" s="44"/>
      <c r="D475" s="44"/>
    </row>
    <row r="476" spans="2:4" s="59" customFormat="1" ht="30" customHeight="1" x14ac:dyDescent="0.35">
      <c r="B476" s="44"/>
      <c r="C476" s="44"/>
      <c r="D476" s="44"/>
    </row>
    <row r="477" spans="2:4" ht="15" customHeight="1" x14ac:dyDescent="0.35">
      <c r="B477" s="44"/>
      <c r="C477" s="44"/>
    </row>
    <row r="478" spans="2:4" ht="15" customHeight="1" x14ac:dyDescent="0.35">
      <c r="B478" s="44"/>
      <c r="C478" s="44"/>
    </row>
    <row r="479" spans="2:4" ht="15" customHeight="1" x14ac:dyDescent="0.35">
      <c r="B479" s="44"/>
      <c r="C479" s="44"/>
    </row>
    <row r="480" spans="2:4" ht="15" customHeight="1" x14ac:dyDescent="0.55000000000000004">
      <c r="B480" s="57"/>
      <c r="C480" s="57"/>
      <c r="D480" s="66"/>
    </row>
    <row r="481" spans="2:8" ht="15" customHeight="1" x14ac:dyDescent="0.35">
      <c r="B481" s="60"/>
      <c r="C481" s="60"/>
      <c r="D481" s="60"/>
    </row>
    <row r="482" spans="2:8" ht="15" customHeight="1" x14ac:dyDescent="0.35">
      <c r="B482" s="44"/>
      <c r="C482" s="44"/>
    </row>
    <row r="483" spans="2:8" ht="15" customHeight="1" x14ac:dyDescent="0.35">
      <c r="B483" s="44"/>
      <c r="C483" s="44"/>
    </row>
    <row r="484" spans="2:8" s="44" customFormat="1" ht="15" customHeight="1" x14ac:dyDescent="0.35">
      <c r="E484" s="45"/>
      <c r="F484" s="45"/>
      <c r="G484" s="45"/>
      <c r="H484" s="45"/>
    </row>
    <row r="485" spans="2:8" s="44" customFormat="1" ht="15" customHeight="1" x14ac:dyDescent="0.35">
      <c r="E485" s="45"/>
      <c r="F485" s="45"/>
      <c r="G485" s="45"/>
      <c r="H485" s="45"/>
    </row>
    <row r="486" spans="2:8" s="44" customFormat="1" ht="15" customHeight="1" x14ac:dyDescent="0.35">
      <c r="E486" s="45"/>
      <c r="F486" s="45"/>
      <c r="G486" s="45"/>
      <c r="H486" s="45"/>
    </row>
    <row r="487" spans="2:8" s="44" customFormat="1" ht="15" customHeight="1" x14ac:dyDescent="0.35">
      <c r="E487" s="45"/>
      <c r="F487" s="45"/>
      <c r="G487" s="45"/>
      <c r="H487" s="45"/>
    </row>
    <row r="488" spans="2:8" s="44" customFormat="1" ht="15" customHeight="1" x14ac:dyDescent="0.35">
      <c r="E488" s="45"/>
      <c r="F488" s="45"/>
      <c r="G488" s="45"/>
      <c r="H488" s="45"/>
    </row>
    <row r="489" spans="2:8" s="44" customFormat="1" ht="15" customHeight="1" x14ac:dyDescent="0.35">
      <c r="E489" s="45"/>
      <c r="F489" s="45"/>
      <c r="G489" s="45"/>
      <c r="H489" s="45"/>
    </row>
    <row r="490" spans="2:8" s="44" customFormat="1" ht="15" customHeight="1" x14ac:dyDescent="0.35">
      <c r="E490" s="45"/>
      <c r="F490" s="45"/>
      <c r="G490" s="45"/>
      <c r="H490" s="45"/>
    </row>
    <row r="491" spans="2:8" s="44" customFormat="1" ht="15" customHeight="1" x14ac:dyDescent="0.35">
      <c r="E491" s="45"/>
      <c r="F491" s="45"/>
      <c r="G491" s="45"/>
      <c r="H491" s="45"/>
    </row>
    <row r="492" spans="2:8" s="44" customFormat="1" ht="15" customHeight="1" x14ac:dyDescent="0.35">
      <c r="E492" s="45"/>
      <c r="F492" s="45"/>
      <c r="G492" s="45"/>
      <c r="H492" s="45"/>
    </row>
    <row r="493" spans="2:8" s="44" customFormat="1" ht="15" customHeight="1" x14ac:dyDescent="0.35">
      <c r="E493" s="45"/>
      <c r="F493" s="45"/>
      <c r="G493" s="45"/>
      <c r="H493" s="45"/>
    </row>
    <row r="494" spans="2:8" s="44" customFormat="1" ht="15" customHeight="1" x14ac:dyDescent="0.35">
      <c r="E494" s="45"/>
      <c r="F494" s="45"/>
      <c r="G494" s="45"/>
      <c r="H494" s="45"/>
    </row>
    <row r="495" spans="2:8" s="44" customFormat="1" ht="15" customHeight="1" x14ac:dyDescent="0.35">
      <c r="E495" s="45"/>
      <c r="F495" s="45"/>
      <c r="G495" s="45"/>
      <c r="H495" s="45"/>
    </row>
    <row r="496" spans="2:8" s="44" customFormat="1" ht="15" customHeight="1" x14ac:dyDescent="0.35">
      <c r="E496" s="45"/>
      <c r="F496" s="45"/>
      <c r="G496" s="45"/>
      <c r="H496" s="45"/>
    </row>
    <row r="497" spans="5:8" s="44" customFormat="1" ht="15" customHeight="1" x14ac:dyDescent="0.35">
      <c r="E497" s="45"/>
      <c r="F497" s="45"/>
      <c r="G497" s="45"/>
      <c r="H497" s="45"/>
    </row>
    <row r="498" spans="5:8" s="44" customFormat="1" ht="15" customHeight="1" x14ac:dyDescent="0.35">
      <c r="E498" s="45"/>
      <c r="F498" s="45"/>
      <c r="G498" s="45"/>
      <c r="H498" s="45"/>
    </row>
    <row r="499" spans="5:8" s="44" customFormat="1" ht="15" customHeight="1" x14ac:dyDescent="0.35">
      <c r="E499" s="45"/>
      <c r="F499" s="45"/>
      <c r="G499" s="45"/>
      <c r="H499" s="45"/>
    </row>
    <row r="500" spans="5:8" s="44" customFormat="1" ht="15" customHeight="1" x14ac:dyDescent="0.35">
      <c r="E500" s="45"/>
      <c r="F500" s="45"/>
      <c r="G500" s="45"/>
      <c r="H500" s="45"/>
    </row>
    <row r="501" spans="5:8" s="44" customFormat="1" ht="15" customHeight="1" x14ac:dyDescent="0.35">
      <c r="E501" s="45"/>
      <c r="F501" s="45"/>
      <c r="G501" s="45"/>
      <c r="H501" s="45"/>
    </row>
    <row r="502" spans="5:8" s="44" customFormat="1" ht="15" customHeight="1" x14ac:dyDescent="0.35">
      <c r="E502" s="45"/>
      <c r="F502" s="45"/>
      <c r="G502" s="45"/>
      <c r="H502" s="45"/>
    </row>
    <row r="503" spans="5:8" s="44" customFormat="1" ht="15" customHeight="1" x14ac:dyDescent="0.35">
      <c r="E503" s="45"/>
      <c r="F503" s="45"/>
      <c r="G503" s="45"/>
      <c r="H503" s="45"/>
    </row>
    <row r="504" spans="5:8" s="44" customFormat="1" ht="15" customHeight="1" x14ac:dyDescent="0.35">
      <c r="E504" s="45"/>
      <c r="F504" s="45"/>
      <c r="G504" s="45"/>
      <c r="H504" s="45"/>
    </row>
    <row r="505" spans="5:8" s="44" customFormat="1" ht="15" customHeight="1" x14ac:dyDescent="0.35">
      <c r="E505" s="45"/>
      <c r="F505" s="45"/>
      <c r="G505" s="45"/>
      <c r="H505" s="45"/>
    </row>
    <row r="506" spans="5:8" s="44" customFormat="1" ht="15" customHeight="1" x14ac:dyDescent="0.35">
      <c r="E506" s="45"/>
      <c r="F506" s="45"/>
      <c r="G506" s="45"/>
      <c r="H506" s="45"/>
    </row>
    <row r="507" spans="5:8" s="44" customFormat="1" ht="15" customHeight="1" x14ac:dyDescent="0.35">
      <c r="E507" s="45"/>
      <c r="F507" s="45"/>
      <c r="G507" s="45"/>
      <c r="H507" s="45"/>
    </row>
    <row r="508" spans="5:8" s="44" customFormat="1" ht="15" customHeight="1" x14ac:dyDescent="0.35">
      <c r="E508" s="45"/>
      <c r="F508" s="45"/>
      <c r="G508" s="45"/>
      <c r="H508" s="45"/>
    </row>
    <row r="509" spans="5:8" s="44" customFormat="1" ht="15" customHeight="1" x14ac:dyDescent="0.35">
      <c r="E509" s="45"/>
      <c r="F509" s="45"/>
      <c r="G509" s="45"/>
      <c r="H509" s="45"/>
    </row>
    <row r="510" spans="5:8" s="44" customFormat="1" ht="15" customHeight="1" x14ac:dyDescent="0.35">
      <c r="E510" s="45"/>
      <c r="F510" s="45"/>
      <c r="G510" s="45"/>
      <c r="H510" s="45"/>
    </row>
    <row r="511" spans="5:8" s="44" customFormat="1" ht="15" customHeight="1" x14ac:dyDescent="0.35">
      <c r="E511" s="45"/>
      <c r="F511" s="45"/>
      <c r="G511" s="45"/>
      <c r="H511" s="45"/>
    </row>
    <row r="512" spans="5:8" s="44" customFormat="1" ht="15" customHeight="1" x14ac:dyDescent="0.35">
      <c r="E512" s="45"/>
      <c r="F512" s="45"/>
      <c r="G512" s="45"/>
      <c r="H512" s="45"/>
    </row>
    <row r="513" spans="5:8" s="44" customFormat="1" ht="15" customHeight="1" x14ac:dyDescent="0.35">
      <c r="E513" s="45"/>
      <c r="F513" s="45"/>
      <c r="G513" s="45"/>
      <c r="H513" s="45"/>
    </row>
    <row r="514" spans="5:8" s="44" customFormat="1" ht="15" customHeight="1" x14ac:dyDescent="0.35">
      <c r="E514" s="45"/>
      <c r="F514" s="45"/>
      <c r="G514" s="45"/>
      <c r="H514" s="45"/>
    </row>
    <row r="515" spans="5:8" s="44" customFormat="1" ht="15" customHeight="1" x14ac:dyDescent="0.35">
      <c r="E515" s="45"/>
      <c r="F515" s="45"/>
      <c r="G515" s="45"/>
      <c r="H515" s="45"/>
    </row>
    <row r="516" spans="5:8" s="44" customFormat="1" ht="15" customHeight="1" x14ac:dyDescent="0.35">
      <c r="E516" s="45"/>
      <c r="F516" s="45"/>
      <c r="G516" s="45"/>
      <c r="H516" s="45"/>
    </row>
    <row r="517" spans="5:8" s="44" customFormat="1" ht="15" customHeight="1" x14ac:dyDescent="0.35">
      <c r="E517" s="45"/>
      <c r="F517" s="45"/>
      <c r="G517" s="45"/>
      <c r="H517" s="45"/>
    </row>
    <row r="518" spans="5:8" s="44" customFormat="1" ht="15" customHeight="1" x14ac:dyDescent="0.35">
      <c r="E518" s="45"/>
      <c r="F518" s="45"/>
      <c r="G518" s="45"/>
      <c r="H518" s="45"/>
    </row>
    <row r="519" spans="5:8" s="44" customFormat="1" ht="15" customHeight="1" x14ac:dyDescent="0.35">
      <c r="E519" s="45"/>
      <c r="F519" s="45"/>
      <c r="G519" s="45"/>
      <c r="H519" s="45"/>
    </row>
    <row r="520" spans="5:8" s="44" customFormat="1" ht="15" customHeight="1" x14ac:dyDescent="0.35">
      <c r="E520" s="45"/>
      <c r="F520" s="45"/>
      <c r="G520" s="45"/>
      <c r="H520" s="45"/>
    </row>
    <row r="521" spans="5:8" s="44" customFormat="1" ht="15" customHeight="1" x14ac:dyDescent="0.35">
      <c r="E521" s="45"/>
      <c r="F521" s="45"/>
      <c r="G521" s="45"/>
      <c r="H521" s="45"/>
    </row>
    <row r="522" spans="5:8" s="44" customFormat="1" ht="15" customHeight="1" x14ac:dyDescent="0.35">
      <c r="E522" s="45"/>
      <c r="F522" s="45"/>
      <c r="G522" s="45"/>
      <c r="H522" s="45"/>
    </row>
    <row r="523" spans="5:8" s="44" customFormat="1" ht="15" customHeight="1" x14ac:dyDescent="0.35">
      <c r="E523" s="45"/>
      <c r="F523" s="45"/>
      <c r="G523" s="45"/>
      <c r="H523" s="45"/>
    </row>
    <row r="524" spans="5:8" s="44" customFormat="1" ht="15" customHeight="1" x14ac:dyDescent="0.35">
      <c r="E524" s="45"/>
      <c r="F524" s="45"/>
      <c r="G524" s="45"/>
      <c r="H524" s="45"/>
    </row>
    <row r="525" spans="5:8" s="44" customFormat="1" ht="15" customHeight="1" x14ac:dyDescent="0.35">
      <c r="E525" s="45"/>
      <c r="F525" s="45"/>
      <c r="G525" s="45"/>
      <c r="H525" s="45"/>
    </row>
    <row r="526" spans="5:8" s="44" customFormat="1" ht="15" customHeight="1" x14ac:dyDescent="0.35">
      <c r="E526" s="45"/>
      <c r="F526" s="45"/>
      <c r="G526" s="45"/>
      <c r="H526" s="45"/>
    </row>
    <row r="527" spans="5:8" s="44" customFormat="1" ht="15" customHeight="1" x14ac:dyDescent="0.35">
      <c r="E527" s="45"/>
      <c r="F527" s="45"/>
      <c r="G527" s="45"/>
      <c r="H527" s="45"/>
    </row>
    <row r="528" spans="5:8" s="44" customFormat="1" ht="15" customHeight="1" x14ac:dyDescent="0.35">
      <c r="E528" s="45"/>
      <c r="F528" s="45"/>
      <c r="G528" s="45"/>
      <c r="H528" s="45"/>
    </row>
    <row r="529" spans="5:8" s="44" customFormat="1" ht="15" customHeight="1" x14ac:dyDescent="0.35">
      <c r="E529" s="45"/>
      <c r="F529" s="45"/>
      <c r="G529" s="45"/>
      <c r="H529" s="45"/>
    </row>
    <row r="530" spans="5:8" s="44" customFormat="1" ht="15" customHeight="1" x14ac:dyDescent="0.35">
      <c r="E530" s="45"/>
      <c r="F530" s="45"/>
      <c r="G530" s="45"/>
      <c r="H530" s="45"/>
    </row>
    <row r="531" spans="5:8" s="44" customFormat="1" ht="15" customHeight="1" x14ac:dyDescent="0.35">
      <c r="E531" s="45"/>
      <c r="F531" s="45"/>
      <c r="G531" s="45"/>
      <c r="H531" s="45"/>
    </row>
    <row r="532" spans="5:8" s="44" customFormat="1" ht="15" customHeight="1" x14ac:dyDescent="0.35">
      <c r="E532" s="45"/>
      <c r="F532" s="45"/>
      <c r="G532" s="45"/>
      <c r="H532" s="45"/>
    </row>
    <row r="533" spans="5:8" s="44" customFormat="1" ht="15" customHeight="1" x14ac:dyDescent="0.35">
      <c r="E533" s="45"/>
      <c r="F533" s="45"/>
      <c r="G533" s="45"/>
      <c r="H533" s="45"/>
    </row>
    <row r="534" spans="5:8" s="44" customFormat="1" ht="15" customHeight="1" x14ac:dyDescent="0.35">
      <c r="E534" s="45"/>
      <c r="F534" s="45"/>
      <c r="G534" s="45"/>
      <c r="H534" s="45"/>
    </row>
    <row r="535" spans="5:8" s="44" customFormat="1" ht="15" customHeight="1" x14ac:dyDescent="0.35">
      <c r="E535" s="45"/>
      <c r="F535" s="45"/>
      <c r="G535" s="45"/>
      <c r="H535" s="45"/>
    </row>
    <row r="536" spans="5:8" s="44" customFormat="1" ht="15" customHeight="1" x14ac:dyDescent="0.35">
      <c r="E536" s="45"/>
      <c r="F536" s="45"/>
      <c r="G536" s="45"/>
      <c r="H536" s="45"/>
    </row>
    <row r="537" spans="5:8" s="44" customFormat="1" ht="15" customHeight="1" x14ac:dyDescent="0.35">
      <c r="E537" s="45"/>
      <c r="F537" s="45"/>
      <c r="G537" s="45"/>
      <c r="H537" s="45"/>
    </row>
    <row r="538" spans="5:8" s="44" customFormat="1" ht="15" customHeight="1" x14ac:dyDescent="0.35">
      <c r="E538" s="45"/>
      <c r="F538" s="45"/>
      <c r="G538" s="45"/>
      <c r="H538" s="45"/>
    </row>
    <row r="539" spans="5:8" s="44" customFormat="1" ht="15" customHeight="1" x14ac:dyDescent="0.35">
      <c r="E539" s="45"/>
      <c r="F539" s="45"/>
      <c r="G539" s="45"/>
      <c r="H539" s="45"/>
    </row>
    <row r="540" spans="5:8" s="44" customFormat="1" ht="15" customHeight="1" x14ac:dyDescent="0.35">
      <c r="E540" s="45"/>
      <c r="F540" s="45"/>
      <c r="G540" s="45"/>
      <c r="H540" s="45"/>
    </row>
    <row r="541" spans="5:8" s="44" customFormat="1" ht="15" customHeight="1" x14ac:dyDescent="0.35">
      <c r="E541" s="45"/>
      <c r="F541" s="45"/>
      <c r="G541" s="45"/>
      <c r="H541" s="45"/>
    </row>
    <row r="542" spans="5:8" s="44" customFormat="1" ht="15" customHeight="1" x14ac:dyDescent="0.35">
      <c r="E542" s="45"/>
      <c r="F542" s="45"/>
      <c r="G542" s="45"/>
      <c r="H542" s="45"/>
    </row>
    <row r="543" spans="5:8" s="44" customFormat="1" ht="15" customHeight="1" x14ac:dyDescent="0.35">
      <c r="E543" s="45"/>
      <c r="F543" s="45"/>
      <c r="G543" s="45"/>
      <c r="H543" s="45"/>
    </row>
    <row r="544" spans="5:8" s="44" customFormat="1" ht="15" customHeight="1" x14ac:dyDescent="0.35">
      <c r="E544" s="45"/>
      <c r="F544" s="45"/>
      <c r="G544" s="45"/>
      <c r="H544" s="45"/>
    </row>
    <row r="545" spans="2:8" s="44" customFormat="1" ht="15" customHeight="1" x14ac:dyDescent="0.35">
      <c r="E545" s="45"/>
      <c r="F545" s="45"/>
      <c r="G545" s="45"/>
      <c r="H545" s="45"/>
    </row>
    <row r="546" spans="2:8" s="44" customFormat="1" ht="15" customHeight="1" x14ac:dyDescent="0.35">
      <c r="E546" s="45"/>
      <c r="F546" s="45"/>
      <c r="G546" s="45"/>
      <c r="H546" s="45"/>
    </row>
    <row r="547" spans="2:8" s="44" customFormat="1" ht="15" customHeight="1" x14ac:dyDescent="0.35">
      <c r="E547" s="45"/>
      <c r="F547" s="45"/>
      <c r="G547" s="45"/>
      <c r="H547" s="45"/>
    </row>
    <row r="548" spans="2:8" x14ac:dyDescent="0.35">
      <c r="B548" s="44"/>
      <c r="C548" s="44"/>
    </row>
    <row r="549" spans="2:8" x14ac:dyDescent="0.35">
      <c r="B549" s="44"/>
      <c r="C549" s="44"/>
    </row>
    <row r="550" spans="2:8" ht="15" customHeight="1" x14ac:dyDescent="0.35">
      <c r="B550" s="44"/>
      <c r="C550" s="44"/>
    </row>
    <row r="551" spans="2:8" ht="15" customHeight="1" x14ac:dyDescent="0.35">
      <c r="B551" s="44"/>
      <c r="C551" s="44"/>
    </row>
    <row r="552" spans="2:8" ht="15" customHeight="1" x14ac:dyDescent="0.35">
      <c r="B552" s="44"/>
      <c r="C552" s="44"/>
    </row>
    <row r="553" spans="2:8" ht="15" customHeight="1" x14ac:dyDescent="0.35"/>
    <row r="554" spans="2:8" s="56" customFormat="1" ht="20.25" x14ac:dyDescent="0.55000000000000004">
      <c r="B554" s="45"/>
      <c r="C554" s="45"/>
      <c r="D554" s="44"/>
    </row>
    <row r="555" spans="2:8" s="59" customFormat="1" ht="30" customHeight="1" x14ac:dyDescent="0.35">
      <c r="B555" s="44"/>
      <c r="C555" s="44"/>
      <c r="D555" s="44"/>
    </row>
    <row r="556" spans="2:8" ht="15" customHeight="1" x14ac:dyDescent="0.35">
      <c r="B556" s="44"/>
      <c r="C556" s="44"/>
    </row>
    <row r="557" spans="2:8" ht="15" customHeight="1" x14ac:dyDescent="0.35">
      <c r="B557" s="44"/>
      <c r="C557" s="44"/>
      <c r="H557" s="67"/>
    </row>
    <row r="558" spans="2:8" ht="15" customHeight="1" x14ac:dyDescent="0.35">
      <c r="B558" s="44"/>
      <c r="C558" s="44"/>
      <c r="H558" s="67"/>
    </row>
    <row r="559" spans="2:8" ht="15" customHeight="1" x14ac:dyDescent="0.55000000000000004">
      <c r="B559" s="57"/>
      <c r="C559" s="57"/>
      <c r="D559" s="66"/>
      <c r="H559" s="67"/>
    </row>
    <row r="560" spans="2:8" ht="15" customHeight="1" x14ac:dyDescent="0.35">
      <c r="B560" s="60"/>
      <c r="C560" s="60"/>
      <c r="D560" s="60"/>
      <c r="H560" s="67"/>
    </row>
    <row r="561" spans="2:8" ht="15" customHeight="1" x14ac:dyDescent="0.35">
      <c r="B561" s="44"/>
      <c r="C561" s="44"/>
      <c r="H561" s="67"/>
    </row>
    <row r="562" spans="2:8" ht="15" customHeight="1" x14ac:dyDescent="0.35">
      <c r="B562" s="44"/>
      <c r="C562" s="44"/>
      <c r="H562" s="67"/>
    </row>
    <row r="563" spans="2:8" ht="15" customHeight="1" x14ac:dyDescent="0.35">
      <c r="B563" s="44"/>
      <c r="C563" s="44"/>
      <c r="H563" s="67"/>
    </row>
    <row r="564" spans="2:8" ht="15" customHeight="1" x14ac:dyDescent="0.35">
      <c r="B564" s="44"/>
      <c r="C564" s="44"/>
      <c r="H564" s="67"/>
    </row>
    <row r="565" spans="2:8" ht="15" customHeight="1" x14ac:dyDescent="0.35">
      <c r="B565" s="44"/>
      <c r="C565" s="44"/>
      <c r="H565" s="67"/>
    </row>
    <row r="566" spans="2:8" ht="15" customHeight="1" x14ac:dyDescent="0.35">
      <c r="B566" s="44"/>
      <c r="C566" s="44"/>
      <c r="H566" s="67"/>
    </row>
    <row r="567" spans="2:8" ht="15" customHeight="1" x14ac:dyDescent="0.35">
      <c r="B567" s="44"/>
      <c r="C567" s="44"/>
      <c r="H567" s="67"/>
    </row>
    <row r="568" spans="2:8" ht="15" customHeight="1" x14ac:dyDescent="0.35">
      <c r="B568" s="44"/>
      <c r="C568" s="44"/>
      <c r="H568" s="67"/>
    </row>
    <row r="569" spans="2:8" ht="15" customHeight="1" x14ac:dyDescent="0.35">
      <c r="B569" s="44"/>
      <c r="C569" s="44"/>
      <c r="H569" s="67"/>
    </row>
    <row r="570" spans="2:8" ht="15" customHeight="1" x14ac:dyDescent="0.35">
      <c r="B570" s="44"/>
      <c r="C570" s="44"/>
      <c r="H570" s="67"/>
    </row>
    <row r="571" spans="2:8" ht="15" customHeight="1" x14ac:dyDescent="0.35">
      <c r="B571" s="44"/>
      <c r="C571" s="44"/>
      <c r="H571" s="67"/>
    </row>
    <row r="572" spans="2:8" ht="15" customHeight="1" x14ac:dyDescent="0.35">
      <c r="B572" s="44"/>
      <c r="C572" s="44"/>
      <c r="H572" s="67"/>
    </row>
    <row r="573" spans="2:8" ht="15" customHeight="1" x14ac:dyDescent="0.35">
      <c r="B573" s="44"/>
      <c r="C573" s="44"/>
      <c r="H573" s="67"/>
    </row>
    <row r="574" spans="2:8" ht="15" customHeight="1" x14ac:dyDescent="0.35">
      <c r="B574" s="44"/>
      <c r="C574" s="44"/>
      <c r="H574" s="67"/>
    </row>
    <row r="575" spans="2:8" ht="15" customHeight="1" x14ac:dyDescent="0.35">
      <c r="B575" s="44"/>
      <c r="C575" s="44"/>
      <c r="H575" s="67"/>
    </row>
    <row r="576" spans="2:8" ht="15" customHeight="1" x14ac:dyDescent="0.35">
      <c r="B576" s="44"/>
      <c r="C576" s="44"/>
      <c r="H576" s="67"/>
    </row>
    <row r="577" spans="2:8" ht="15" customHeight="1" x14ac:dyDescent="0.35">
      <c r="B577" s="44"/>
      <c r="C577" s="44"/>
      <c r="H577" s="67"/>
    </row>
    <row r="578" spans="2:8" ht="15" customHeight="1" x14ac:dyDescent="0.35">
      <c r="B578" s="44"/>
      <c r="C578" s="44"/>
      <c r="H578" s="67"/>
    </row>
    <row r="579" spans="2:8" ht="15" customHeight="1" x14ac:dyDescent="0.35">
      <c r="B579" s="44"/>
      <c r="C579" s="44"/>
      <c r="H579" s="67"/>
    </row>
    <row r="580" spans="2:8" ht="15" customHeight="1" x14ac:dyDescent="0.35">
      <c r="B580" s="44"/>
      <c r="C580" s="44"/>
      <c r="H580" s="67"/>
    </row>
    <row r="581" spans="2:8" ht="15" customHeight="1" x14ac:dyDescent="0.35">
      <c r="B581" s="44"/>
      <c r="C581" s="44"/>
      <c r="H581" s="67"/>
    </row>
    <row r="582" spans="2:8" ht="15" customHeight="1" x14ac:dyDescent="0.35">
      <c r="B582" s="44"/>
      <c r="C582" s="44"/>
      <c r="H582" s="67"/>
    </row>
    <row r="583" spans="2:8" ht="15" customHeight="1" x14ac:dyDescent="0.35">
      <c r="B583" s="44"/>
      <c r="C583" s="44"/>
      <c r="H583" s="67"/>
    </row>
    <row r="584" spans="2:8" ht="15" customHeight="1" x14ac:dyDescent="0.35">
      <c r="B584" s="44"/>
      <c r="C584" s="44"/>
      <c r="H584" s="67"/>
    </row>
    <row r="585" spans="2:8" ht="15" customHeight="1" x14ac:dyDescent="0.35">
      <c r="B585" s="44"/>
      <c r="C585" s="44"/>
      <c r="H585" s="67"/>
    </row>
    <row r="586" spans="2:8" ht="15" customHeight="1" x14ac:dyDescent="0.35">
      <c r="B586" s="44"/>
      <c r="C586" s="44"/>
      <c r="H586" s="67"/>
    </row>
    <row r="587" spans="2:8" ht="15" customHeight="1" x14ac:dyDescent="0.35">
      <c r="B587" s="44"/>
      <c r="C587" s="44"/>
      <c r="H587" s="67"/>
    </row>
    <row r="588" spans="2:8" ht="15" customHeight="1" x14ac:dyDescent="0.35">
      <c r="B588" s="44"/>
      <c r="C588" s="44"/>
      <c r="H588" s="67"/>
    </row>
    <row r="589" spans="2:8" ht="15" customHeight="1" x14ac:dyDescent="0.35">
      <c r="B589" s="44"/>
      <c r="C589" s="44"/>
      <c r="H589" s="67"/>
    </row>
    <row r="590" spans="2:8" ht="15" customHeight="1" x14ac:dyDescent="0.35">
      <c r="B590" s="44"/>
      <c r="C590" s="44"/>
      <c r="H590" s="67"/>
    </row>
    <row r="591" spans="2:8" ht="15" customHeight="1" x14ac:dyDescent="0.35">
      <c r="B591" s="44"/>
      <c r="C591" s="44"/>
      <c r="H591" s="67"/>
    </row>
    <row r="592" spans="2:8" ht="15" customHeight="1" x14ac:dyDescent="0.35">
      <c r="B592" s="44"/>
      <c r="C592" s="44"/>
    </row>
    <row r="593" spans="2:8" ht="15" customHeight="1" x14ac:dyDescent="0.35">
      <c r="B593" s="44"/>
      <c r="C593" s="44"/>
    </row>
    <row r="594" spans="2:8" ht="15" customHeight="1" x14ac:dyDescent="0.35">
      <c r="B594" s="44"/>
      <c r="C594" s="44"/>
    </row>
    <row r="595" spans="2:8" ht="15" customHeight="1" x14ac:dyDescent="0.35">
      <c r="B595" s="44"/>
      <c r="C595" s="44"/>
    </row>
    <row r="596" spans="2:8" s="44" customFormat="1" ht="15" customHeight="1" x14ac:dyDescent="0.35">
      <c r="E596" s="45"/>
      <c r="F596" s="45"/>
      <c r="G596" s="45"/>
      <c r="H596" s="45"/>
    </row>
    <row r="597" spans="2:8" s="44" customFormat="1" ht="15" customHeight="1" x14ac:dyDescent="0.35">
      <c r="E597" s="45"/>
      <c r="F597" s="45"/>
      <c r="G597" s="45"/>
      <c r="H597" s="45"/>
    </row>
    <row r="598" spans="2:8" s="44" customFormat="1" ht="15" customHeight="1" x14ac:dyDescent="0.35">
      <c r="E598" s="45"/>
      <c r="F598" s="45"/>
      <c r="G598" s="45"/>
      <c r="H598" s="45"/>
    </row>
    <row r="599" spans="2:8" s="44" customFormat="1" ht="15" customHeight="1" x14ac:dyDescent="0.35">
      <c r="E599" s="45"/>
      <c r="F599" s="45"/>
      <c r="G599" s="45"/>
      <c r="H599" s="45"/>
    </row>
    <row r="600" spans="2:8" s="44" customFormat="1" ht="15" customHeight="1" x14ac:dyDescent="0.35">
      <c r="E600" s="45"/>
      <c r="F600" s="45"/>
      <c r="G600" s="45"/>
      <c r="H600" s="45"/>
    </row>
    <row r="601" spans="2:8" s="44" customFormat="1" ht="15" customHeight="1" x14ac:dyDescent="0.35">
      <c r="E601" s="45"/>
      <c r="F601" s="45"/>
      <c r="G601" s="45"/>
      <c r="H601" s="45"/>
    </row>
    <row r="602" spans="2:8" s="44" customFormat="1" ht="15" customHeight="1" x14ac:dyDescent="0.35">
      <c r="E602" s="45"/>
      <c r="F602" s="45"/>
      <c r="G602" s="45"/>
      <c r="H602" s="45"/>
    </row>
    <row r="603" spans="2:8" s="44" customFormat="1" ht="15" customHeight="1" x14ac:dyDescent="0.35">
      <c r="E603" s="45"/>
      <c r="F603" s="45"/>
      <c r="G603" s="45"/>
      <c r="H603" s="45"/>
    </row>
    <row r="604" spans="2:8" s="44" customFormat="1" ht="15" customHeight="1" x14ac:dyDescent="0.35">
      <c r="E604" s="45"/>
      <c r="F604" s="45"/>
      <c r="G604" s="45"/>
      <c r="H604" s="45"/>
    </row>
    <row r="605" spans="2:8" s="44" customFormat="1" ht="15" customHeight="1" x14ac:dyDescent="0.35">
      <c r="E605" s="45"/>
      <c r="F605" s="45"/>
      <c r="G605" s="45"/>
      <c r="H605" s="45"/>
    </row>
    <row r="606" spans="2:8" s="44" customFormat="1" ht="15" customHeight="1" x14ac:dyDescent="0.35">
      <c r="E606" s="45"/>
      <c r="F606" s="45"/>
      <c r="G606" s="45"/>
      <c r="H606" s="45"/>
    </row>
    <row r="607" spans="2:8" s="44" customFormat="1" ht="15" customHeight="1" x14ac:dyDescent="0.35">
      <c r="E607" s="45"/>
      <c r="F607" s="45"/>
      <c r="G607" s="45"/>
      <c r="H607" s="45"/>
    </row>
    <row r="608" spans="2:8" s="44" customFormat="1" ht="15" customHeight="1" x14ac:dyDescent="0.35">
      <c r="E608" s="45"/>
      <c r="F608" s="45"/>
      <c r="G608" s="45"/>
      <c r="H608" s="45"/>
    </row>
    <row r="609" spans="5:8" s="44" customFormat="1" ht="15" customHeight="1" x14ac:dyDescent="0.35">
      <c r="E609" s="45"/>
      <c r="F609" s="45"/>
      <c r="G609" s="45"/>
      <c r="H609" s="45"/>
    </row>
    <row r="610" spans="5:8" s="44" customFormat="1" ht="15" customHeight="1" x14ac:dyDescent="0.35">
      <c r="E610" s="45"/>
      <c r="F610" s="45"/>
      <c r="G610" s="45"/>
      <c r="H610" s="45"/>
    </row>
    <row r="611" spans="5:8" s="44" customFormat="1" ht="15" customHeight="1" x14ac:dyDescent="0.35">
      <c r="E611" s="45"/>
      <c r="F611" s="45"/>
      <c r="G611" s="45"/>
      <c r="H611" s="45"/>
    </row>
    <row r="612" spans="5:8" s="44" customFormat="1" ht="15" customHeight="1" x14ac:dyDescent="0.35">
      <c r="E612" s="45"/>
      <c r="F612" s="45"/>
      <c r="G612" s="45"/>
      <c r="H612" s="45"/>
    </row>
    <row r="613" spans="5:8" s="44" customFormat="1" ht="15" customHeight="1" x14ac:dyDescent="0.35">
      <c r="E613" s="45"/>
      <c r="F613" s="45"/>
      <c r="G613" s="45"/>
      <c r="H613" s="45"/>
    </row>
    <row r="614" spans="5:8" s="44" customFormat="1" ht="15" customHeight="1" x14ac:dyDescent="0.35">
      <c r="E614" s="45"/>
      <c r="F614" s="45"/>
      <c r="G614" s="45"/>
      <c r="H614" s="45"/>
    </row>
    <row r="615" spans="5:8" s="44" customFormat="1" ht="15" customHeight="1" x14ac:dyDescent="0.35">
      <c r="E615" s="45"/>
      <c r="F615" s="45"/>
      <c r="G615" s="45"/>
      <c r="H615" s="45"/>
    </row>
    <row r="616" spans="5:8" s="44" customFormat="1" ht="15" customHeight="1" x14ac:dyDescent="0.35">
      <c r="E616" s="45"/>
      <c r="F616" s="45"/>
      <c r="G616" s="45"/>
      <c r="H616" s="45"/>
    </row>
    <row r="617" spans="5:8" s="44" customFormat="1" ht="15" customHeight="1" x14ac:dyDescent="0.35">
      <c r="E617" s="45"/>
      <c r="F617" s="45"/>
      <c r="G617" s="45"/>
      <c r="H617" s="45"/>
    </row>
    <row r="618" spans="5:8" s="44" customFormat="1" ht="15" customHeight="1" x14ac:dyDescent="0.35">
      <c r="E618" s="45"/>
      <c r="F618" s="45"/>
      <c r="G618" s="45"/>
      <c r="H618" s="45"/>
    </row>
    <row r="619" spans="5:8" s="44" customFormat="1" ht="15" customHeight="1" x14ac:dyDescent="0.35">
      <c r="E619" s="45"/>
      <c r="F619" s="45"/>
      <c r="G619" s="45"/>
      <c r="H619" s="45"/>
    </row>
    <row r="620" spans="5:8" s="44" customFormat="1" ht="15" customHeight="1" x14ac:dyDescent="0.35">
      <c r="E620" s="45"/>
      <c r="F620" s="45"/>
      <c r="G620" s="45"/>
      <c r="H620" s="45"/>
    </row>
    <row r="621" spans="5:8" s="44" customFormat="1" ht="15" customHeight="1" x14ac:dyDescent="0.35">
      <c r="E621" s="45"/>
      <c r="F621" s="45"/>
      <c r="G621" s="45"/>
      <c r="H621" s="45"/>
    </row>
    <row r="622" spans="5:8" s="44" customFormat="1" ht="15" customHeight="1" x14ac:dyDescent="0.35">
      <c r="E622" s="45"/>
      <c r="F622" s="45"/>
      <c r="G622" s="45"/>
      <c r="H622" s="45"/>
    </row>
    <row r="623" spans="5:8" s="44" customFormat="1" ht="15" customHeight="1" x14ac:dyDescent="0.35">
      <c r="E623" s="45"/>
      <c r="F623" s="45"/>
      <c r="G623" s="45"/>
      <c r="H623" s="45"/>
    </row>
    <row r="624" spans="5:8" s="44" customFormat="1" ht="15" customHeight="1" x14ac:dyDescent="0.35">
      <c r="E624" s="45"/>
      <c r="F624" s="45"/>
      <c r="G624" s="45"/>
      <c r="H624" s="45"/>
    </row>
    <row r="625" spans="2:8" s="44" customFormat="1" ht="15" customHeight="1" x14ac:dyDescent="0.35">
      <c r="E625" s="45"/>
      <c r="F625" s="45"/>
      <c r="G625" s="45"/>
      <c r="H625" s="45"/>
    </row>
    <row r="626" spans="2:8" s="44" customFormat="1" ht="15" customHeight="1" x14ac:dyDescent="0.35">
      <c r="E626" s="45"/>
      <c r="F626" s="45"/>
      <c r="G626" s="45"/>
      <c r="H626" s="45"/>
    </row>
    <row r="627" spans="2:8" s="44" customFormat="1" ht="15" customHeight="1" x14ac:dyDescent="0.35">
      <c r="E627" s="45"/>
      <c r="F627" s="45"/>
      <c r="G627" s="45"/>
      <c r="H627" s="45"/>
    </row>
    <row r="628" spans="2:8" ht="15" customHeight="1" x14ac:dyDescent="0.35">
      <c r="B628" s="44"/>
      <c r="C628" s="44"/>
    </row>
    <row r="629" spans="2:8" ht="15" customHeight="1" x14ac:dyDescent="0.35">
      <c r="B629" s="44"/>
      <c r="C629" s="44"/>
    </row>
    <row r="630" spans="2:8" ht="15" customHeight="1" x14ac:dyDescent="0.35">
      <c r="B630" s="44"/>
      <c r="C630" s="44"/>
    </row>
    <row r="631" spans="2:8" ht="15" customHeight="1" x14ac:dyDescent="0.35">
      <c r="B631" s="44"/>
      <c r="C631" s="44"/>
    </row>
    <row r="632" spans="2:8" ht="15" customHeight="1" x14ac:dyDescent="0.35">
      <c r="B632" s="44"/>
      <c r="C632" s="44"/>
    </row>
    <row r="633" spans="2:8" ht="15" customHeight="1" x14ac:dyDescent="0.35">
      <c r="B633" s="44"/>
      <c r="C633" s="44"/>
    </row>
    <row r="634" spans="2:8" ht="15" customHeight="1" x14ac:dyDescent="0.35">
      <c r="B634" s="44"/>
      <c r="C634" s="44"/>
    </row>
    <row r="635" spans="2:8" ht="15" customHeight="1" x14ac:dyDescent="0.35">
      <c r="B635" s="44"/>
      <c r="C635" s="44"/>
    </row>
    <row r="636" spans="2:8" ht="15" customHeight="1" x14ac:dyDescent="0.35">
      <c r="B636" s="44"/>
      <c r="C636" s="44"/>
    </row>
    <row r="637" spans="2:8" ht="15" customHeight="1" x14ac:dyDescent="0.55000000000000004">
      <c r="B637" s="44"/>
      <c r="C637" s="44"/>
      <c r="H637" s="56"/>
    </row>
    <row r="638" spans="2:8" ht="15" customHeight="1" x14ac:dyDescent="0.35">
      <c r="B638" s="44"/>
      <c r="C638" s="44"/>
    </row>
    <row r="639" spans="2:8" ht="15" customHeight="1" x14ac:dyDescent="0.35">
      <c r="B639" s="44"/>
      <c r="C639" s="44"/>
    </row>
    <row r="640" spans="2:8" ht="15" customHeight="1" x14ac:dyDescent="0.35">
      <c r="B640" s="44"/>
      <c r="C640" s="44"/>
      <c r="H640" s="59"/>
    </row>
    <row r="641" spans="2:4" ht="15" customHeight="1" x14ac:dyDescent="0.35">
      <c r="B641" s="44"/>
      <c r="C641" s="44"/>
    </row>
    <row r="642" spans="2:4" ht="15" customHeight="1" x14ac:dyDescent="0.55000000000000004">
      <c r="B642" s="44"/>
      <c r="C642" s="44"/>
      <c r="D642" s="66"/>
    </row>
    <row r="643" spans="2:4" ht="15" customHeight="1" x14ac:dyDescent="0.35">
      <c r="B643" s="44"/>
      <c r="C643" s="44"/>
    </row>
    <row r="644" spans="2:4" ht="15" customHeight="1" x14ac:dyDescent="0.35">
      <c r="B644" s="44"/>
      <c r="C644" s="44"/>
    </row>
    <row r="645" spans="2:4" ht="15" customHeight="1" x14ac:dyDescent="0.35">
      <c r="B645" s="44"/>
      <c r="C645" s="44"/>
      <c r="D645" s="60"/>
    </row>
    <row r="646" spans="2:4" ht="15" customHeight="1" x14ac:dyDescent="0.35">
      <c r="B646" s="44"/>
      <c r="C646" s="44"/>
    </row>
    <row r="647" spans="2:4" ht="15" customHeight="1" x14ac:dyDescent="0.35">
      <c r="B647" s="44"/>
      <c r="C647" s="44"/>
    </row>
    <row r="648" spans="2:4" ht="15" customHeight="1" x14ac:dyDescent="0.35">
      <c r="B648" s="44"/>
      <c r="C648" s="44"/>
    </row>
    <row r="649" spans="2:4" ht="15" customHeight="1" x14ac:dyDescent="0.35">
      <c r="B649" s="44"/>
      <c r="C649" s="44"/>
    </row>
    <row r="650" spans="2:4" ht="15" customHeight="1" x14ac:dyDescent="0.35">
      <c r="B650" s="44"/>
      <c r="C650" s="44"/>
    </row>
    <row r="651" spans="2:4" ht="15" customHeight="1" x14ac:dyDescent="0.35">
      <c r="B651" s="44"/>
      <c r="C651" s="44"/>
    </row>
    <row r="652" spans="2:4" ht="15" customHeight="1" x14ac:dyDescent="0.35">
      <c r="B652" s="44"/>
      <c r="C652" s="44"/>
    </row>
    <row r="653" spans="2:4" ht="15" customHeight="1" x14ac:dyDescent="0.35">
      <c r="B653" s="44"/>
      <c r="C653" s="44"/>
    </row>
    <row r="654" spans="2:4" ht="15" customHeight="1" x14ac:dyDescent="0.35">
      <c r="B654" s="44"/>
      <c r="C654" s="44"/>
    </row>
    <row r="655" spans="2:4" ht="15" customHeight="1" x14ac:dyDescent="0.35">
      <c r="B655" s="44"/>
      <c r="C655" s="44"/>
    </row>
    <row r="656" spans="2:4" ht="15" customHeight="1" x14ac:dyDescent="0.35">
      <c r="B656" s="44"/>
      <c r="C656" s="44"/>
    </row>
    <row r="657" spans="2:8" ht="15" customHeight="1" x14ac:dyDescent="0.35">
      <c r="B657" s="44"/>
      <c r="C657" s="44"/>
    </row>
    <row r="658" spans="2:8" ht="15" customHeight="1" x14ac:dyDescent="0.35">
      <c r="B658" s="44"/>
      <c r="C658" s="44"/>
    </row>
    <row r="659" spans="2:8" ht="15" customHeight="1" x14ac:dyDescent="0.35">
      <c r="B659" s="44"/>
      <c r="C659" s="44"/>
    </row>
    <row r="660" spans="2:8" ht="15" customHeight="1" x14ac:dyDescent="0.35">
      <c r="B660" s="44"/>
      <c r="C660" s="44"/>
    </row>
    <row r="661" spans="2:8" ht="15" customHeight="1" x14ac:dyDescent="0.35">
      <c r="B661" s="44"/>
      <c r="C661" s="44"/>
    </row>
    <row r="662" spans="2:8" ht="15" customHeight="1" x14ac:dyDescent="0.35">
      <c r="B662" s="44"/>
      <c r="C662" s="44"/>
    </row>
    <row r="663" spans="2:8" ht="15" customHeight="1" x14ac:dyDescent="0.35">
      <c r="B663" s="44"/>
      <c r="C663" s="44"/>
    </row>
    <row r="664" spans="2:8" ht="15" customHeight="1" x14ac:dyDescent="0.35">
      <c r="B664" s="44"/>
      <c r="C664" s="44"/>
    </row>
    <row r="665" spans="2:8" ht="15" customHeight="1" x14ac:dyDescent="0.35">
      <c r="B665" s="44"/>
      <c r="C665" s="44"/>
    </row>
    <row r="666" spans="2:8" ht="15" customHeight="1" x14ac:dyDescent="0.35">
      <c r="B666" s="44"/>
      <c r="C666" s="44"/>
    </row>
    <row r="667" spans="2:8" ht="15" customHeight="1" x14ac:dyDescent="0.35">
      <c r="B667" s="44"/>
      <c r="C667" s="44"/>
    </row>
    <row r="668" spans="2:8" ht="15" customHeight="1" x14ac:dyDescent="0.35">
      <c r="B668" s="44"/>
      <c r="C668" s="44"/>
    </row>
    <row r="669" spans="2:8" ht="15" customHeight="1" x14ac:dyDescent="0.35">
      <c r="B669" s="44"/>
      <c r="C669" s="44"/>
    </row>
    <row r="670" spans="2:8" ht="15" customHeight="1" x14ac:dyDescent="0.35">
      <c r="B670" s="44"/>
      <c r="C670" s="44"/>
    </row>
    <row r="671" spans="2:8" s="56" customFormat="1" ht="20.25" x14ac:dyDescent="0.55000000000000004">
      <c r="B671" s="44"/>
      <c r="C671" s="44"/>
      <c r="D671" s="44"/>
      <c r="H671" s="45"/>
    </row>
    <row r="672" spans="2:8" x14ac:dyDescent="0.35">
      <c r="B672" s="44"/>
      <c r="C672" s="44"/>
    </row>
    <row r="673" spans="2:8" x14ac:dyDescent="0.35">
      <c r="B673" s="44"/>
      <c r="C673" s="44"/>
    </row>
    <row r="674" spans="2:8" s="59" customFormat="1" ht="30" customHeight="1" x14ac:dyDescent="0.35">
      <c r="B674" s="44"/>
      <c r="C674" s="44"/>
      <c r="D674" s="44"/>
      <c r="H674" s="45"/>
    </row>
    <row r="675" spans="2:8" ht="15" customHeight="1" x14ac:dyDescent="0.35">
      <c r="B675" s="44"/>
      <c r="C675" s="44"/>
    </row>
    <row r="676" spans="2:8" s="44" customFormat="1" ht="15" customHeight="1" x14ac:dyDescent="0.55000000000000004">
      <c r="B676" s="56"/>
      <c r="C676" s="56"/>
      <c r="E676" s="45"/>
      <c r="F676" s="45"/>
      <c r="G676" s="45"/>
      <c r="H676" s="45"/>
    </row>
    <row r="677" spans="2:8" s="44" customFormat="1" ht="15" customHeight="1" x14ac:dyDescent="0.35">
      <c r="B677" s="45"/>
      <c r="C677" s="45"/>
      <c r="E677" s="45"/>
      <c r="F677" s="45"/>
      <c r="G677" s="45"/>
      <c r="H677" s="45"/>
    </row>
    <row r="678" spans="2:8" s="44" customFormat="1" ht="15" customHeight="1" x14ac:dyDescent="0.35">
      <c r="B678" s="45"/>
      <c r="C678" s="45"/>
      <c r="E678" s="45"/>
      <c r="F678" s="45"/>
      <c r="G678" s="45"/>
      <c r="H678" s="45"/>
    </row>
    <row r="679" spans="2:8" s="44" customFormat="1" ht="15" customHeight="1" x14ac:dyDescent="0.35">
      <c r="B679" s="60"/>
      <c r="C679" s="60"/>
      <c r="E679" s="45"/>
      <c r="F679" s="45"/>
      <c r="G679" s="45"/>
      <c r="H679" s="45"/>
    </row>
    <row r="680" spans="2:8" s="44" customFormat="1" ht="15" customHeight="1" x14ac:dyDescent="0.35">
      <c r="E680" s="45"/>
      <c r="F680" s="45"/>
      <c r="G680" s="45"/>
      <c r="H680" s="45"/>
    </row>
    <row r="681" spans="2:8" s="44" customFormat="1" ht="15" customHeight="1" x14ac:dyDescent="0.35">
      <c r="E681" s="45"/>
      <c r="F681" s="45"/>
      <c r="G681" s="45"/>
      <c r="H681" s="45"/>
    </row>
    <row r="682" spans="2:8" s="44" customFormat="1" ht="15" customHeight="1" x14ac:dyDescent="0.35">
      <c r="E682" s="45"/>
      <c r="F682" s="45"/>
      <c r="G682" s="45"/>
      <c r="H682" s="45"/>
    </row>
    <row r="683" spans="2:8" s="44" customFormat="1" ht="15" customHeight="1" x14ac:dyDescent="0.35">
      <c r="E683" s="45"/>
      <c r="F683" s="45"/>
      <c r="G683" s="45"/>
      <c r="H683" s="45"/>
    </row>
    <row r="684" spans="2:8" s="44" customFormat="1" ht="15" customHeight="1" x14ac:dyDescent="0.35">
      <c r="E684" s="45"/>
      <c r="F684" s="45"/>
      <c r="G684" s="45"/>
      <c r="H684" s="45"/>
    </row>
    <row r="685" spans="2:8" s="44" customFormat="1" ht="15" customHeight="1" x14ac:dyDescent="0.35">
      <c r="E685" s="45"/>
      <c r="F685" s="45"/>
      <c r="G685" s="45"/>
      <c r="H685" s="45"/>
    </row>
    <row r="686" spans="2:8" s="44" customFormat="1" ht="15" customHeight="1" x14ac:dyDescent="0.35">
      <c r="E686" s="45"/>
      <c r="F686" s="45"/>
      <c r="G686" s="45"/>
      <c r="H686" s="45"/>
    </row>
    <row r="687" spans="2:8" s="44" customFormat="1" ht="15" customHeight="1" x14ac:dyDescent="0.35">
      <c r="E687" s="45"/>
      <c r="F687" s="45"/>
      <c r="G687" s="45"/>
      <c r="H687" s="45"/>
    </row>
    <row r="688" spans="2:8" s="44" customFormat="1" ht="15" customHeight="1" x14ac:dyDescent="0.35">
      <c r="E688" s="45"/>
      <c r="F688" s="45"/>
      <c r="G688" s="45"/>
      <c r="H688" s="45"/>
    </row>
    <row r="689" spans="5:8" s="44" customFormat="1" ht="15" customHeight="1" x14ac:dyDescent="0.35">
      <c r="E689" s="45"/>
      <c r="F689" s="45"/>
      <c r="G689" s="45"/>
      <c r="H689" s="45"/>
    </row>
    <row r="690" spans="5:8" s="44" customFormat="1" ht="15" customHeight="1" x14ac:dyDescent="0.35">
      <c r="E690" s="45"/>
      <c r="F690" s="45"/>
      <c r="G690" s="45"/>
      <c r="H690" s="45"/>
    </row>
    <row r="691" spans="5:8" s="44" customFormat="1" ht="15" customHeight="1" x14ac:dyDescent="0.35">
      <c r="E691" s="45"/>
      <c r="F691" s="45"/>
      <c r="G691" s="45"/>
      <c r="H691" s="45"/>
    </row>
    <row r="692" spans="5:8" s="44" customFormat="1" ht="15" customHeight="1" x14ac:dyDescent="0.35">
      <c r="E692" s="45"/>
      <c r="F692" s="45"/>
      <c r="G692" s="45"/>
      <c r="H692" s="45"/>
    </row>
    <row r="693" spans="5:8" s="44" customFormat="1" ht="15" customHeight="1" x14ac:dyDescent="0.35">
      <c r="E693" s="45"/>
      <c r="F693" s="45"/>
      <c r="G693" s="45"/>
      <c r="H693" s="45"/>
    </row>
    <row r="694" spans="5:8" s="44" customFormat="1" ht="15" customHeight="1" x14ac:dyDescent="0.35">
      <c r="E694" s="45"/>
      <c r="F694" s="45"/>
      <c r="G694" s="45"/>
      <c r="H694" s="45"/>
    </row>
    <row r="695" spans="5:8" s="44" customFormat="1" ht="15" customHeight="1" x14ac:dyDescent="0.35">
      <c r="E695" s="45"/>
      <c r="F695" s="45"/>
      <c r="G695" s="45"/>
      <c r="H695" s="45"/>
    </row>
    <row r="696" spans="5:8" s="44" customFormat="1" ht="15" customHeight="1" x14ac:dyDescent="0.35">
      <c r="E696" s="45"/>
      <c r="F696" s="45"/>
      <c r="G696" s="45"/>
      <c r="H696" s="45"/>
    </row>
    <row r="697" spans="5:8" s="44" customFormat="1" ht="15" customHeight="1" x14ac:dyDescent="0.35">
      <c r="E697" s="45"/>
      <c r="F697" s="45"/>
      <c r="G697" s="45"/>
      <c r="H697" s="45"/>
    </row>
    <row r="698" spans="5:8" s="44" customFormat="1" ht="15" customHeight="1" x14ac:dyDescent="0.35">
      <c r="E698" s="45"/>
      <c r="F698" s="45"/>
      <c r="G698" s="45"/>
      <c r="H698" s="45"/>
    </row>
    <row r="699" spans="5:8" s="44" customFormat="1" ht="15" customHeight="1" x14ac:dyDescent="0.35">
      <c r="E699" s="45"/>
      <c r="F699" s="45"/>
      <c r="G699" s="45"/>
      <c r="H699" s="45"/>
    </row>
    <row r="700" spans="5:8" s="44" customFormat="1" ht="15" customHeight="1" x14ac:dyDescent="0.35">
      <c r="E700" s="45"/>
      <c r="F700" s="45"/>
      <c r="G700" s="45"/>
      <c r="H700" s="45"/>
    </row>
    <row r="701" spans="5:8" s="44" customFormat="1" ht="15" customHeight="1" x14ac:dyDescent="0.35">
      <c r="E701" s="45"/>
      <c r="F701" s="45"/>
      <c r="G701" s="45"/>
      <c r="H701" s="45"/>
    </row>
    <row r="702" spans="5:8" s="44" customFormat="1" ht="15" customHeight="1" x14ac:dyDescent="0.35">
      <c r="E702" s="45"/>
      <c r="F702" s="45"/>
      <c r="G702" s="45"/>
      <c r="H702" s="45"/>
    </row>
    <row r="703" spans="5:8" s="44" customFormat="1" ht="15" customHeight="1" x14ac:dyDescent="0.35">
      <c r="E703" s="45"/>
      <c r="F703" s="45"/>
      <c r="G703" s="45"/>
      <c r="H703" s="45"/>
    </row>
    <row r="704" spans="5:8" s="44" customFormat="1" ht="15" customHeight="1" x14ac:dyDescent="0.35">
      <c r="E704" s="45"/>
      <c r="F704" s="45"/>
      <c r="G704" s="45"/>
      <c r="H704" s="45"/>
    </row>
    <row r="705" spans="5:8" s="44" customFormat="1" ht="15" customHeight="1" x14ac:dyDescent="0.35">
      <c r="E705" s="45"/>
      <c r="F705" s="45"/>
      <c r="G705" s="45"/>
      <c r="H705" s="45"/>
    </row>
    <row r="706" spans="5:8" s="44" customFormat="1" ht="15" customHeight="1" x14ac:dyDescent="0.35">
      <c r="E706" s="45"/>
      <c r="F706" s="45"/>
      <c r="G706" s="45"/>
      <c r="H706" s="45"/>
    </row>
    <row r="707" spans="5:8" s="44" customFormat="1" ht="15" customHeight="1" x14ac:dyDescent="0.35">
      <c r="E707" s="45"/>
      <c r="F707" s="45"/>
      <c r="G707" s="45"/>
      <c r="H707" s="45"/>
    </row>
    <row r="708" spans="5:8" s="44" customFormat="1" ht="15" customHeight="1" x14ac:dyDescent="0.35">
      <c r="E708" s="45"/>
      <c r="F708" s="45"/>
      <c r="G708" s="45"/>
      <c r="H708" s="45"/>
    </row>
    <row r="709" spans="5:8" s="44" customFormat="1" ht="15" customHeight="1" x14ac:dyDescent="0.35">
      <c r="E709" s="45"/>
      <c r="F709" s="45"/>
      <c r="G709" s="45"/>
      <c r="H709" s="45"/>
    </row>
    <row r="710" spans="5:8" s="44" customFormat="1" ht="15" customHeight="1" x14ac:dyDescent="0.35">
      <c r="E710" s="45"/>
      <c r="F710" s="45"/>
      <c r="G710" s="45"/>
      <c r="H710" s="45"/>
    </row>
    <row r="711" spans="5:8" s="44" customFormat="1" ht="15" customHeight="1" x14ac:dyDescent="0.35">
      <c r="E711" s="45"/>
      <c r="F711" s="45"/>
      <c r="G711" s="45"/>
      <c r="H711" s="45"/>
    </row>
    <row r="712" spans="5:8" s="44" customFormat="1" ht="15" customHeight="1" x14ac:dyDescent="0.35">
      <c r="E712" s="45"/>
      <c r="F712" s="45"/>
      <c r="G712" s="45"/>
      <c r="H712" s="45"/>
    </row>
    <row r="713" spans="5:8" s="44" customFormat="1" ht="15" customHeight="1" x14ac:dyDescent="0.35">
      <c r="E713" s="45"/>
      <c r="F713" s="45"/>
      <c r="G713" s="45"/>
      <c r="H713" s="45"/>
    </row>
    <row r="714" spans="5:8" s="44" customFormat="1" ht="15" customHeight="1" x14ac:dyDescent="0.35">
      <c r="E714" s="45"/>
      <c r="F714" s="45"/>
      <c r="G714" s="45"/>
      <c r="H714" s="45"/>
    </row>
    <row r="715" spans="5:8" s="44" customFormat="1" ht="15" customHeight="1" x14ac:dyDescent="0.35">
      <c r="E715" s="45"/>
      <c r="F715" s="45"/>
      <c r="G715" s="45"/>
      <c r="H715" s="45"/>
    </row>
    <row r="716" spans="5:8" s="44" customFormat="1" ht="15" customHeight="1" x14ac:dyDescent="0.35">
      <c r="E716" s="45"/>
      <c r="F716" s="45"/>
      <c r="G716" s="45"/>
      <c r="H716" s="45"/>
    </row>
    <row r="717" spans="5:8" s="44" customFormat="1" ht="15" customHeight="1" x14ac:dyDescent="0.35">
      <c r="E717" s="45"/>
      <c r="F717" s="45"/>
      <c r="G717" s="45"/>
      <c r="H717" s="45"/>
    </row>
    <row r="718" spans="5:8" s="44" customFormat="1" ht="15" customHeight="1" x14ac:dyDescent="0.35">
      <c r="E718" s="45"/>
      <c r="F718" s="45"/>
      <c r="G718" s="45"/>
      <c r="H718" s="45"/>
    </row>
    <row r="719" spans="5:8" s="44" customFormat="1" ht="15" customHeight="1" x14ac:dyDescent="0.35">
      <c r="E719" s="45"/>
      <c r="F719" s="45"/>
      <c r="G719" s="45"/>
      <c r="H719" s="45"/>
    </row>
    <row r="720" spans="5:8" s="44" customFormat="1" ht="15" customHeight="1" x14ac:dyDescent="0.35">
      <c r="E720" s="45"/>
      <c r="F720" s="45"/>
      <c r="G720" s="45"/>
      <c r="H720" s="45"/>
    </row>
    <row r="721" spans="5:8" s="44" customFormat="1" ht="15" customHeight="1" x14ac:dyDescent="0.35">
      <c r="E721" s="45"/>
      <c r="F721" s="45"/>
      <c r="G721" s="45"/>
      <c r="H721" s="45"/>
    </row>
    <row r="722" spans="5:8" s="44" customFormat="1" ht="15" customHeight="1" x14ac:dyDescent="0.35">
      <c r="E722" s="45"/>
      <c r="F722" s="45"/>
      <c r="G722" s="45"/>
      <c r="H722" s="45"/>
    </row>
    <row r="723" spans="5:8" s="44" customFormat="1" ht="15" customHeight="1" x14ac:dyDescent="0.35">
      <c r="E723" s="45"/>
      <c r="F723" s="45"/>
      <c r="G723" s="45"/>
      <c r="H723" s="45"/>
    </row>
    <row r="724" spans="5:8" s="44" customFormat="1" ht="15" customHeight="1" x14ac:dyDescent="0.35">
      <c r="E724" s="45"/>
      <c r="F724" s="45"/>
      <c r="G724" s="45"/>
      <c r="H724" s="45"/>
    </row>
    <row r="725" spans="5:8" s="44" customFormat="1" ht="15" customHeight="1" x14ac:dyDescent="0.35">
      <c r="E725" s="45"/>
      <c r="F725" s="45"/>
      <c r="G725" s="45"/>
      <c r="H725" s="45"/>
    </row>
    <row r="726" spans="5:8" s="44" customFormat="1" ht="15" customHeight="1" x14ac:dyDescent="0.35">
      <c r="E726" s="45"/>
      <c r="F726" s="45"/>
      <c r="G726" s="45"/>
      <c r="H726" s="45"/>
    </row>
    <row r="727" spans="5:8" s="44" customFormat="1" ht="15" customHeight="1" x14ac:dyDescent="0.35">
      <c r="E727" s="45"/>
      <c r="F727" s="45"/>
      <c r="G727" s="45"/>
      <c r="H727" s="45"/>
    </row>
    <row r="728" spans="5:8" s="44" customFormat="1" ht="15" customHeight="1" x14ac:dyDescent="0.35">
      <c r="E728" s="45"/>
      <c r="F728" s="45"/>
      <c r="G728" s="45"/>
      <c r="H728" s="45"/>
    </row>
    <row r="729" spans="5:8" s="44" customFormat="1" ht="15" customHeight="1" x14ac:dyDescent="0.35">
      <c r="E729" s="45"/>
      <c r="F729" s="45"/>
      <c r="G729" s="45"/>
      <c r="H729" s="45"/>
    </row>
    <row r="730" spans="5:8" s="44" customFormat="1" ht="15" customHeight="1" x14ac:dyDescent="0.35">
      <c r="E730" s="45"/>
      <c r="F730" s="45"/>
      <c r="G730" s="45"/>
      <c r="H730" s="45"/>
    </row>
    <row r="731" spans="5:8" s="44" customFormat="1" ht="15" customHeight="1" x14ac:dyDescent="0.35">
      <c r="E731" s="45"/>
      <c r="F731" s="45"/>
      <c r="G731" s="45"/>
      <c r="H731" s="45"/>
    </row>
    <row r="732" spans="5:8" s="44" customFormat="1" ht="15" customHeight="1" x14ac:dyDescent="0.35">
      <c r="E732" s="45"/>
      <c r="F732" s="45"/>
      <c r="G732" s="45"/>
      <c r="H732" s="45"/>
    </row>
    <row r="733" spans="5:8" s="44" customFormat="1" ht="15" customHeight="1" x14ac:dyDescent="0.35">
      <c r="E733" s="45"/>
      <c r="F733" s="45"/>
      <c r="G733" s="45"/>
      <c r="H733" s="45"/>
    </row>
    <row r="734" spans="5:8" s="44" customFormat="1" ht="15" customHeight="1" x14ac:dyDescent="0.35">
      <c r="E734" s="45"/>
      <c r="F734" s="45"/>
      <c r="G734" s="45"/>
      <c r="H734" s="45"/>
    </row>
    <row r="735" spans="5:8" s="44" customFormat="1" ht="15" customHeight="1" x14ac:dyDescent="0.35">
      <c r="E735" s="45"/>
      <c r="F735" s="45"/>
      <c r="G735" s="45"/>
      <c r="H735" s="45"/>
    </row>
    <row r="736" spans="5:8" s="44" customFormat="1" ht="15" customHeight="1" x14ac:dyDescent="0.35">
      <c r="E736" s="45"/>
      <c r="F736" s="45"/>
      <c r="G736" s="45"/>
      <c r="H736" s="45"/>
    </row>
    <row r="737" spans="2:8" s="44" customFormat="1" ht="15" customHeight="1" x14ac:dyDescent="0.35">
      <c r="E737" s="45"/>
      <c r="F737" s="45"/>
      <c r="G737" s="45"/>
      <c r="H737" s="45"/>
    </row>
    <row r="738" spans="2:8" s="44" customFormat="1" ht="15" customHeight="1" x14ac:dyDescent="0.35">
      <c r="E738" s="45"/>
      <c r="F738" s="45"/>
      <c r="G738" s="45"/>
      <c r="H738" s="45"/>
    </row>
    <row r="739" spans="2:8" s="44" customFormat="1" ht="15" customHeight="1" x14ac:dyDescent="0.35">
      <c r="E739" s="45"/>
      <c r="F739" s="45"/>
      <c r="G739" s="45"/>
      <c r="H739" s="45"/>
    </row>
    <row r="740" spans="2:8" ht="15" customHeight="1" x14ac:dyDescent="0.35">
      <c r="B740" s="44"/>
      <c r="C740" s="44"/>
    </row>
    <row r="741" spans="2:8" ht="15" customHeight="1" x14ac:dyDescent="0.35">
      <c r="B741" s="44"/>
      <c r="C741" s="44"/>
    </row>
    <row r="742" spans="2:8" ht="15" customHeight="1" x14ac:dyDescent="0.35">
      <c r="B742" s="44"/>
      <c r="C742" s="44"/>
    </row>
    <row r="743" spans="2:8" ht="15" customHeight="1" x14ac:dyDescent="0.35">
      <c r="B743" s="44"/>
      <c r="C743" s="44"/>
    </row>
    <row r="744" spans="2:8" ht="15" customHeight="1" x14ac:dyDescent="0.35">
      <c r="B744" s="44"/>
      <c r="C744" s="44"/>
    </row>
    <row r="745" spans="2:8" ht="15" customHeight="1" x14ac:dyDescent="0.35">
      <c r="B745" s="44"/>
      <c r="C745" s="44"/>
    </row>
    <row r="746" spans="2:8" ht="15" customHeight="1" x14ac:dyDescent="0.35">
      <c r="B746" s="44"/>
      <c r="C746" s="44"/>
    </row>
    <row r="747" spans="2:8" ht="15" customHeight="1" x14ac:dyDescent="0.45">
      <c r="B747" s="44"/>
      <c r="C747" s="44"/>
      <c r="H747" s="68"/>
    </row>
    <row r="748" spans="2:8" ht="15" customHeight="1" x14ac:dyDescent="0.35">
      <c r="B748" s="44"/>
      <c r="C748" s="44"/>
    </row>
    <row r="749" spans="2:8" ht="15" customHeight="1" x14ac:dyDescent="0.35">
      <c r="B749" s="44"/>
      <c r="C749" s="44"/>
    </row>
    <row r="750" spans="2:8" ht="15" customHeight="1" x14ac:dyDescent="0.35">
      <c r="B750" s="44"/>
      <c r="C750" s="44"/>
      <c r="H750" s="59"/>
    </row>
    <row r="751" spans="2:8" ht="15" customHeight="1" x14ac:dyDescent="0.35">
      <c r="B751" s="44"/>
      <c r="C751" s="44"/>
    </row>
    <row r="752" spans="2:8" ht="15" customHeight="1" x14ac:dyDescent="0.45">
      <c r="B752" s="44"/>
      <c r="C752" s="44"/>
      <c r="D752" s="69"/>
    </row>
    <row r="753" spans="2:8" ht="15" customHeight="1" x14ac:dyDescent="0.35">
      <c r="B753" s="44"/>
      <c r="C753" s="44"/>
    </row>
    <row r="754" spans="2:8" ht="15" customHeight="1" x14ac:dyDescent="0.35">
      <c r="B754" s="44"/>
      <c r="C754" s="44"/>
    </row>
    <row r="755" spans="2:8" ht="15" customHeight="1" x14ac:dyDescent="0.35">
      <c r="B755" s="44"/>
      <c r="C755" s="44"/>
      <c r="D755" s="60"/>
    </row>
    <row r="756" spans="2:8" s="44" customFormat="1" ht="15" customHeight="1" x14ac:dyDescent="0.35">
      <c r="E756" s="45"/>
      <c r="F756" s="45"/>
      <c r="G756" s="45"/>
      <c r="H756" s="45"/>
    </row>
    <row r="757" spans="2:8" s="44" customFormat="1" ht="15" customHeight="1" x14ac:dyDescent="0.35">
      <c r="E757" s="45"/>
      <c r="F757" s="45"/>
      <c r="G757" s="45"/>
      <c r="H757" s="45"/>
    </row>
    <row r="758" spans="2:8" s="44" customFormat="1" ht="15" customHeight="1" x14ac:dyDescent="0.35">
      <c r="E758" s="45"/>
      <c r="F758" s="45"/>
      <c r="G758" s="45"/>
      <c r="H758" s="45"/>
    </row>
    <row r="759" spans="2:8" s="44" customFormat="1" ht="15" customHeight="1" x14ac:dyDescent="0.35">
      <c r="E759" s="45"/>
      <c r="F759" s="45"/>
      <c r="G759" s="45"/>
      <c r="H759" s="45"/>
    </row>
    <row r="760" spans="2:8" s="44" customFormat="1" ht="15" customHeight="1" x14ac:dyDescent="0.35">
      <c r="E760" s="45"/>
      <c r="F760" s="45"/>
      <c r="G760" s="45"/>
      <c r="H760" s="45"/>
    </row>
    <row r="761" spans="2:8" s="44" customFormat="1" ht="15" customHeight="1" x14ac:dyDescent="0.35">
      <c r="E761" s="45"/>
      <c r="F761" s="45"/>
      <c r="G761" s="45"/>
      <c r="H761" s="45"/>
    </row>
    <row r="762" spans="2:8" s="44" customFormat="1" ht="15" customHeight="1" x14ac:dyDescent="0.35">
      <c r="E762" s="45"/>
      <c r="F762" s="45"/>
      <c r="G762" s="45"/>
      <c r="H762" s="45"/>
    </row>
    <row r="763" spans="2:8" s="44" customFormat="1" ht="15" customHeight="1" x14ac:dyDescent="0.35">
      <c r="E763" s="45"/>
      <c r="F763" s="45"/>
      <c r="G763" s="45"/>
      <c r="H763" s="45"/>
    </row>
    <row r="764" spans="2:8" s="44" customFormat="1" ht="15" customHeight="1" x14ac:dyDescent="0.35">
      <c r="E764" s="45"/>
      <c r="F764" s="45"/>
      <c r="G764" s="45"/>
      <c r="H764" s="45"/>
    </row>
    <row r="765" spans="2:8" s="44" customFormat="1" ht="15" customHeight="1" x14ac:dyDescent="0.35">
      <c r="E765" s="45"/>
      <c r="F765" s="45"/>
      <c r="G765" s="45"/>
      <c r="H765" s="45"/>
    </row>
    <row r="766" spans="2:8" s="44" customFormat="1" ht="15" customHeight="1" x14ac:dyDescent="0.35">
      <c r="E766" s="45"/>
      <c r="F766" s="45"/>
      <c r="G766" s="45"/>
      <c r="H766" s="45"/>
    </row>
    <row r="767" spans="2:8" s="44" customFormat="1" ht="15" customHeight="1" x14ac:dyDescent="0.35">
      <c r="E767" s="45"/>
      <c r="F767" s="45"/>
      <c r="G767" s="45"/>
      <c r="H767" s="45"/>
    </row>
    <row r="768" spans="2:8" s="44" customFormat="1" ht="15" customHeight="1" x14ac:dyDescent="0.35">
      <c r="E768" s="45"/>
      <c r="F768" s="45"/>
      <c r="G768" s="45"/>
      <c r="H768" s="45"/>
    </row>
    <row r="769" spans="2:8" s="44" customFormat="1" ht="15" customHeight="1" x14ac:dyDescent="0.35">
      <c r="E769" s="45"/>
      <c r="F769" s="45"/>
      <c r="G769" s="45"/>
      <c r="H769" s="45"/>
    </row>
    <row r="770" spans="2:8" s="44" customFormat="1" ht="15" customHeight="1" x14ac:dyDescent="0.35">
      <c r="E770" s="45"/>
      <c r="F770" s="45"/>
      <c r="G770" s="45"/>
      <c r="H770" s="45"/>
    </row>
    <row r="771" spans="2:8" s="44" customFormat="1" ht="15" customHeight="1" x14ac:dyDescent="0.35">
      <c r="E771" s="45"/>
      <c r="F771" s="45"/>
      <c r="G771" s="45"/>
      <c r="H771" s="45"/>
    </row>
    <row r="772" spans="2:8" ht="15" customHeight="1" x14ac:dyDescent="0.35">
      <c r="B772" s="44"/>
      <c r="C772" s="44"/>
    </row>
    <row r="773" spans="2:8" s="68" customFormat="1" ht="17.25" x14ac:dyDescent="0.45">
      <c r="B773" s="44"/>
      <c r="C773" s="44"/>
      <c r="D773" s="44"/>
      <c r="H773" s="45"/>
    </row>
    <row r="774" spans="2:8" x14ac:dyDescent="0.35">
      <c r="B774" s="44"/>
      <c r="C774" s="44"/>
    </row>
    <row r="775" spans="2:8" x14ac:dyDescent="0.35">
      <c r="B775" s="44"/>
      <c r="C775" s="44"/>
    </row>
    <row r="776" spans="2:8" s="59" customFormat="1" ht="30" customHeight="1" x14ac:dyDescent="0.35">
      <c r="B776" s="44"/>
      <c r="C776" s="44"/>
      <c r="D776" s="44"/>
      <c r="H776" s="45"/>
    </row>
    <row r="777" spans="2:8" ht="15" customHeight="1" x14ac:dyDescent="0.35">
      <c r="B777" s="44"/>
      <c r="C777" s="44"/>
    </row>
    <row r="778" spans="2:8" ht="15" customHeight="1" x14ac:dyDescent="0.45">
      <c r="B778" s="68"/>
      <c r="C778" s="68"/>
    </row>
    <row r="779" spans="2:8" ht="15" customHeight="1" x14ac:dyDescent="0.35"/>
    <row r="780" spans="2:8" ht="15" customHeight="1" x14ac:dyDescent="0.35"/>
    <row r="781" spans="2:8" ht="15" customHeight="1" x14ac:dyDescent="0.35">
      <c r="B781" s="60"/>
      <c r="C781" s="60"/>
    </row>
    <row r="782" spans="2:8" ht="15" customHeight="1" x14ac:dyDescent="0.35">
      <c r="B782" s="44"/>
      <c r="C782" s="44"/>
    </row>
    <row r="783" spans="2:8" ht="15" customHeight="1" x14ac:dyDescent="0.35">
      <c r="B783" s="44"/>
      <c r="C783" s="44"/>
    </row>
    <row r="784" spans="2:8" ht="15" customHeight="1" x14ac:dyDescent="0.35">
      <c r="B784" s="44"/>
      <c r="C784" s="44"/>
    </row>
    <row r="785" spans="2:8" ht="15" customHeight="1" x14ac:dyDescent="0.35">
      <c r="B785" s="44"/>
      <c r="C785" s="44"/>
    </row>
    <row r="786" spans="2:8" ht="15" customHeight="1" x14ac:dyDescent="0.35">
      <c r="B786" s="44"/>
      <c r="C786" s="44"/>
    </row>
    <row r="787" spans="2:8" ht="15" customHeight="1" x14ac:dyDescent="0.35">
      <c r="B787" s="44"/>
      <c r="C787" s="44"/>
    </row>
    <row r="788" spans="2:8" ht="15" customHeight="1" x14ac:dyDescent="0.35">
      <c r="B788" s="44"/>
      <c r="C788" s="44"/>
    </row>
    <row r="789" spans="2:8" ht="15" customHeight="1" x14ac:dyDescent="0.35">
      <c r="B789" s="44"/>
      <c r="C789" s="44"/>
    </row>
    <row r="790" spans="2:8" ht="15" customHeight="1" x14ac:dyDescent="0.35">
      <c r="B790" s="44"/>
      <c r="C790" s="44"/>
    </row>
    <row r="791" spans="2:8" ht="15" customHeight="1" x14ac:dyDescent="0.35">
      <c r="B791" s="44"/>
      <c r="C791" s="44"/>
    </row>
    <row r="792" spans="2:8" ht="15" customHeight="1" x14ac:dyDescent="0.35">
      <c r="B792" s="44"/>
      <c r="C792" s="44"/>
    </row>
    <row r="793" spans="2:8" ht="15" customHeight="1" x14ac:dyDescent="0.35">
      <c r="B793" s="44"/>
      <c r="C793" s="44"/>
    </row>
    <row r="794" spans="2:8" ht="15" customHeight="1" x14ac:dyDescent="0.35">
      <c r="B794" s="44"/>
      <c r="C794" s="44"/>
    </row>
    <row r="795" spans="2:8" x14ac:dyDescent="0.35">
      <c r="B795" s="44"/>
      <c r="C795" s="44"/>
    </row>
    <row r="796" spans="2:8" x14ac:dyDescent="0.35">
      <c r="B796" s="44"/>
      <c r="C796" s="44"/>
    </row>
    <row r="797" spans="2:8" x14ac:dyDescent="0.35">
      <c r="B797" s="44"/>
      <c r="C797" s="44"/>
    </row>
    <row r="798" spans="2:8" x14ac:dyDescent="0.35">
      <c r="B798" s="44"/>
      <c r="C798" s="44"/>
    </row>
    <row r="799" spans="2:8" x14ac:dyDescent="0.35">
      <c r="B799" s="44"/>
      <c r="C799" s="44"/>
    </row>
    <row r="800" spans="2:8" s="68" customFormat="1" ht="17.25" x14ac:dyDescent="0.45">
      <c r="B800" s="45"/>
      <c r="C800" s="45"/>
      <c r="D800" s="44"/>
      <c r="H800" s="45"/>
    </row>
    <row r="801" spans="2:8" s="59" customFormat="1" ht="30" customHeight="1" x14ac:dyDescent="0.35">
      <c r="B801" s="45"/>
      <c r="C801" s="45"/>
      <c r="D801" s="44"/>
      <c r="H801" s="45"/>
    </row>
    <row r="802" spans="2:8" ht="15" customHeight="1" x14ac:dyDescent="0.35"/>
    <row r="803" spans="2:8" ht="15" customHeight="1" x14ac:dyDescent="0.35"/>
    <row r="804" spans="2:8" s="44" customFormat="1" ht="15" customHeight="1" x14ac:dyDescent="0.35">
      <c r="B804" s="45"/>
      <c r="C804" s="45"/>
      <c r="E804" s="45"/>
      <c r="F804" s="45"/>
      <c r="G804" s="45"/>
      <c r="H804" s="45"/>
    </row>
    <row r="805" spans="2:8" s="44" customFormat="1" ht="15" customHeight="1" x14ac:dyDescent="0.45">
      <c r="B805" s="68"/>
      <c r="C805" s="68"/>
      <c r="E805" s="45"/>
      <c r="F805" s="45"/>
      <c r="G805" s="45"/>
      <c r="H805" s="45"/>
    </row>
    <row r="806" spans="2:8" s="44" customFormat="1" ht="15" customHeight="1" x14ac:dyDescent="0.35">
      <c r="B806" s="60"/>
      <c r="C806" s="60"/>
      <c r="E806" s="45"/>
      <c r="F806" s="45"/>
      <c r="G806" s="45"/>
      <c r="H806" s="45"/>
    </row>
    <row r="807" spans="2:8" s="44" customFormat="1" ht="15" customHeight="1" x14ac:dyDescent="0.35">
      <c r="E807" s="45"/>
      <c r="F807" s="45"/>
      <c r="G807" s="45"/>
      <c r="H807" s="45"/>
    </row>
    <row r="808" spans="2:8" s="44" customFormat="1" ht="15" customHeight="1" x14ac:dyDescent="0.35">
      <c r="E808" s="45"/>
      <c r="F808" s="45"/>
      <c r="G808" s="45"/>
      <c r="H808" s="45"/>
    </row>
    <row r="809" spans="2:8" s="44" customFormat="1" ht="15" customHeight="1" x14ac:dyDescent="0.35">
      <c r="E809" s="45"/>
      <c r="F809" s="45"/>
      <c r="G809" s="45"/>
      <c r="H809" s="45"/>
    </row>
    <row r="810" spans="2:8" s="44" customFormat="1" ht="15" customHeight="1" x14ac:dyDescent="0.35">
      <c r="E810" s="45"/>
      <c r="F810" s="45"/>
      <c r="G810" s="45"/>
      <c r="H810" s="45"/>
    </row>
    <row r="811" spans="2:8" s="44" customFormat="1" ht="15" customHeight="1" x14ac:dyDescent="0.35">
      <c r="E811" s="45"/>
      <c r="F811" s="45"/>
      <c r="G811" s="45"/>
      <c r="H811" s="45"/>
    </row>
    <row r="812" spans="2:8" s="44" customFormat="1" x14ac:dyDescent="0.35">
      <c r="E812" s="45"/>
      <c r="F812" s="45"/>
      <c r="G812" s="45"/>
      <c r="H812" s="45"/>
    </row>
    <row r="813" spans="2:8" s="44" customFormat="1" x14ac:dyDescent="0.35">
      <c r="E813" s="45"/>
      <c r="F813" s="45"/>
      <c r="G813" s="45"/>
      <c r="H813" s="45"/>
    </row>
    <row r="814" spans="2:8" s="44" customFormat="1" x14ac:dyDescent="0.35">
      <c r="E814" s="45"/>
      <c r="F814" s="45"/>
      <c r="G814" s="45"/>
      <c r="H814" s="45"/>
    </row>
    <row r="815" spans="2:8" s="44" customFormat="1" x14ac:dyDescent="0.35">
      <c r="E815" s="45"/>
      <c r="F815" s="45"/>
      <c r="G815" s="45"/>
      <c r="H815" s="45"/>
    </row>
    <row r="816" spans="2:8" s="44" customFormat="1" x14ac:dyDescent="0.35">
      <c r="E816" s="45"/>
      <c r="F816" s="45"/>
      <c r="G816" s="45"/>
      <c r="H816" s="45"/>
    </row>
  </sheetData>
  <phoneticPr fontId="37" type="noConversion"/>
  <pageMargins left="0.39370078740157483" right="0.39370078740157483" top="0.78740157480314965" bottom="0.78740157480314965" header="0.31496062992125984" footer="0.31496062992125984"/>
  <pageSetup paperSize="9" fitToHeight="2" orientation="portrait" r:id="rId1"/>
  <headerFooter alignWithMargins="0">
    <oddFooter>&amp;R&amp;P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FC9B4-C8B7-4769-A67D-E635B424E5B4}">
  <sheetPr>
    <pageSetUpPr fitToPage="1"/>
  </sheetPr>
  <dimension ref="A1:AH712"/>
  <sheetViews>
    <sheetView showGridLines="0" zoomScale="70" zoomScaleNormal="70" zoomScaleSheetLayoutView="70" workbookViewId="0">
      <pane ySplit="6" topLeftCell="A676" activePane="bottomLeft" state="frozen"/>
      <selection pane="bottomLeft" activeCell="E664" sqref="E664"/>
    </sheetView>
  </sheetViews>
  <sheetFormatPr baseColWidth="10" defaultColWidth="11.3984375" defaultRowHeight="12.75" x14ac:dyDescent="0.35"/>
  <cols>
    <col min="1" max="2" width="4.86328125" style="45" customWidth="1"/>
    <col min="3" max="3" width="6.86328125" style="44" customWidth="1"/>
    <col min="4" max="4" width="6.59765625" style="44" customWidth="1"/>
    <col min="5" max="5" width="98.59765625" style="59" customWidth="1"/>
    <col min="6" max="6" width="17.59765625" style="45" customWidth="1"/>
    <col min="7" max="8" width="11" style="45" customWidth="1"/>
    <col min="9" max="9" width="11.86328125" style="45" customWidth="1"/>
    <col min="10" max="10" width="12.3984375" style="45" customWidth="1"/>
    <col min="11" max="11" width="10.59765625" style="45" customWidth="1"/>
    <col min="12" max="12" width="11.3984375" style="45" customWidth="1"/>
    <col min="13" max="17" width="11" style="74" customWidth="1"/>
    <col min="18" max="16384" width="11.3984375" style="45"/>
  </cols>
  <sheetData>
    <row r="1" spans="1:17" s="70" customFormat="1" ht="25.15" x14ac:dyDescent="0.7">
      <c r="A1" s="701" t="s">
        <v>1028</v>
      </c>
      <c r="E1" s="71"/>
      <c r="F1" s="108" t="s">
        <v>46</v>
      </c>
      <c r="G1" s="94"/>
      <c r="H1" s="94"/>
      <c r="I1" s="94"/>
      <c r="J1" s="94"/>
      <c r="K1" s="164"/>
      <c r="L1" s="94"/>
    </row>
    <row r="2" spans="1:17" ht="16.149999999999999" customHeight="1" x14ac:dyDescent="0.6">
      <c r="B2" s="72"/>
      <c r="F2" s="239">
        <v>1</v>
      </c>
      <c r="G2" s="365"/>
      <c r="K2" s="165"/>
    </row>
    <row r="3" spans="1:17" ht="19.149999999999999" customHeight="1" x14ac:dyDescent="0.45">
      <c r="A3" s="198" t="s">
        <v>1029</v>
      </c>
      <c r="B3" s="198"/>
      <c r="E3" s="47">
        <f>+Volumenes!E5</f>
        <v>53.7</v>
      </c>
      <c r="F3" s="73"/>
      <c r="G3" s="365"/>
      <c r="K3" s="165"/>
    </row>
    <row r="4" spans="1:17" ht="10.9" customHeight="1" x14ac:dyDescent="0.35">
      <c r="F4" s="64"/>
      <c r="G4" s="70"/>
      <c r="H4" s="75"/>
      <c r="I4" s="75"/>
      <c r="J4" s="64"/>
      <c r="K4" s="165"/>
    </row>
    <row r="5" spans="1:17" s="76" customFormat="1" ht="15" x14ac:dyDescent="0.4">
      <c r="K5" s="166"/>
    </row>
    <row r="6" spans="1:17" s="78" customFormat="1" ht="64.5" customHeight="1" x14ac:dyDescent="0.4">
      <c r="A6" s="95" t="s">
        <v>30</v>
      </c>
      <c r="B6" s="95" t="s">
        <v>1030</v>
      </c>
      <c r="C6" s="95" t="s">
        <v>1031</v>
      </c>
      <c r="D6" s="95" t="s">
        <v>1032</v>
      </c>
      <c r="E6" s="77" t="s">
        <v>1033</v>
      </c>
      <c r="F6" s="96" t="s">
        <v>1034</v>
      </c>
      <c r="G6" s="96" t="s">
        <v>1035</v>
      </c>
      <c r="H6" s="96" t="s">
        <v>35</v>
      </c>
      <c r="I6" s="96" t="s">
        <v>1036</v>
      </c>
      <c r="J6" s="96" t="s">
        <v>1037</v>
      </c>
      <c r="K6" s="167" t="s">
        <v>1038</v>
      </c>
      <c r="L6" s="96" t="s">
        <v>1039</v>
      </c>
      <c r="M6" s="96" t="s">
        <v>1040</v>
      </c>
      <c r="N6" s="96" t="s">
        <v>1041</v>
      </c>
      <c r="O6" s="96" t="s">
        <v>437</v>
      </c>
      <c r="P6" s="96" t="s">
        <v>339</v>
      </c>
      <c r="Q6" s="96" t="s">
        <v>340</v>
      </c>
    </row>
    <row r="7" spans="1:17" s="70" customFormat="1" ht="17.649999999999999" x14ac:dyDescent="0.35">
      <c r="A7" s="79" t="s">
        <v>1042</v>
      </c>
      <c r="B7" s="79"/>
      <c r="E7" s="94"/>
      <c r="F7" s="80"/>
      <c r="G7" s="80"/>
      <c r="H7" s="80"/>
      <c r="I7" s="80"/>
      <c r="J7" s="80"/>
      <c r="K7" s="168"/>
      <c r="L7" s="80"/>
    </row>
    <row r="8" spans="1:17" s="70" customFormat="1" ht="17.649999999999999" x14ac:dyDescent="0.35">
      <c r="A8" s="205" t="s">
        <v>1043</v>
      </c>
      <c r="B8" s="79"/>
      <c r="E8" s="94"/>
      <c r="F8" s="80"/>
      <c r="G8" s="80"/>
      <c r="H8" s="80"/>
      <c r="I8" s="80"/>
      <c r="J8" s="80"/>
      <c r="K8" s="168"/>
      <c r="L8" s="80"/>
    </row>
    <row r="9" spans="1:17" s="70" customFormat="1" x14ac:dyDescent="0.35">
      <c r="A9" s="81"/>
      <c r="B9" s="81">
        <v>2</v>
      </c>
      <c r="C9" s="83">
        <v>1</v>
      </c>
      <c r="D9" s="83" t="s">
        <v>46</v>
      </c>
      <c r="E9" s="113" t="s">
        <v>1044</v>
      </c>
      <c r="F9" s="83" t="str">
        <f>+Volumenes!D25</f>
        <v>CAMION</v>
      </c>
      <c r="G9" s="143">
        <f>VLOOKUP(F9,Volumenes!$D$20:$F$184,3,FALSE)</f>
        <v>11.891054030115146</v>
      </c>
      <c r="H9" s="97"/>
      <c r="I9" s="123">
        <v>1</v>
      </c>
      <c r="J9" s="110">
        <f>+I9*(1+Tiempos!$C$17)</f>
        <v>1.0525</v>
      </c>
      <c r="K9" s="123">
        <f>+J9*G9</f>
        <v>12.515334366696191</v>
      </c>
      <c r="L9" s="98">
        <f>+K9/Tiempos!$B$11</f>
        <v>2.7207248623252588E-2</v>
      </c>
      <c r="M9" s="261"/>
      <c r="N9" s="233"/>
      <c r="O9" s="233"/>
      <c r="P9" s="233"/>
      <c r="Q9" s="233"/>
    </row>
    <row r="10" spans="1:17" s="70" customFormat="1" x14ac:dyDescent="0.35">
      <c r="A10" s="705"/>
      <c r="B10" s="705">
        <v>2</v>
      </c>
      <c r="C10" s="706">
        <v>1</v>
      </c>
      <c r="D10" s="706" t="s">
        <v>46</v>
      </c>
      <c r="E10" s="707" t="s">
        <v>1045</v>
      </c>
      <c r="F10" s="706" t="str">
        <f>+Volumenes!D25</f>
        <v>CAMION</v>
      </c>
      <c r="G10" s="708">
        <f>VLOOKUP(F10,Volumenes!$D$20:$F$184,3,FALSE)</f>
        <v>11.891054030115146</v>
      </c>
      <c r="H10" s="709">
        <f>+Tiempos!E42</f>
        <v>20</v>
      </c>
      <c r="I10" s="710">
        <f>+Tiempos!F42</f>
        <v>0.22644927536231885</v>
      </c>
      <c r="J10" s="711">
        <f>+I10*(1+Tiempos!$C$17)</f>
        <v>0.23833786231884058</v>
      </c>
      <c r="K10" s="712">
        <f>+J10*G10</f>
        <v>2.8340883982554783</v>
      </c>
      <c r="L10" s="710">
        <f>+K10/Tiempos!B11</f>
        <v>6.161061735337996E-3</v>
      </c>
      <c r="M10" s="713"/>
      <c r="N10" s="714"/>
      <c r="O10" s="714"/>
      <c r="P10" s="714"/>
      <c r="Q10" s="234"/>
    </row>
    <row r="11" spans="1:17" s="70" customFormat="1" x14ac:dyDescent="0.35">
      <c r="A11" s="81"/>
      <c r="B11" s="81">
        <v>2</v>
      </c>
      <c r="C11" s="83">
        <v>1</v>
      </c>
      <c r="D11" s="83" t="s">
        <v>46</v>
      </c>
      <c r="E11" s="113" t="s">
        <v>1046</v>
      </c>
      <c r="F11" s="83" t="str">
        <f>+Volumenes!D25</f>
        <v>CAMION</v>
      </c>
      <c r="G11" s="143">
        <f>VLOOKUP(F11,Volumenes!$D$20:$F$184,3,FALSE)</f>
        <v>11.891054030115146</v>
      </c>
      <c r="H11" s="97"/>
      <c r="I11" s="123">
        <v>2</v>
      </c>
      <c r="J11" s="110">
        <f>+I11*(1+Tiempos!$C$17)</f>
        <v>2.105</v>
      </c>
      <c r="K11" s="123">
        <f t="shared" ref="K11:K46" si="0">+J11*G11</f>
        <v>25.030668733392382</v>
      </c>
      <c r="L11" s="98">
        <f>+K11/Tiempos!$B$11</f>
        <v>5.4414497246505177E-2</v>
      </c>
      <c r="M11" s="261"/>
      <c r="N11" s="233"/>
      <c r="O11" s="233"/>
      <c r="P11" s="233"/>
      <c r="Q11" s="233"/>
    </row>
    <row r="12" spans="1:17" s="70" customFormat="1" x14ac:dyDescent="0.35">
      <c r="A12" s="81"/>
      <c r="B12" s="81">
        <v>2</v>
      </c>
      <c r="C12" s="83">
        <v>1</v>
      </c>
      <c r="D12" s="83" t="s">
        <v>327</v>
      </c>
      <c r="E12" s="113" t="s">
        <v>1047</v>
      </c>
      <c r="F12" s="83" t="s">
        <v>110</v>
      </c>
      <c r="G12" s="143">
        <f>VLOOKUP(F12,Volumenes!$D$20:$F$184,3,FALSE)</f>
        <v>11.891054030115146</v>
      </c>
      <c r="H12" s="97"/>
      <c r="I12" s="98">
        <v>0.25</v>
      </c>
      <c r="J12" s="110">
        <f>+I12*(1+Tiempos!$C$17)</f>
        <v>0.263125</v>
      </c>
      <c r="K12" s="123">
        <f>+J12*G12</f>
        <v>3.1288335916740477</v>
      </c>
      <c r="L12" s="98">
        <f>+K12/Tiempos!$B$11</f>
        <v>6.8018121558131471E-3</v>
      </c>
      <c r="M12" s="261">
        <f>+K12/Tiempos!$B$12</f>
        <v>3.4009060779065735E-3</v>
      </c>
      <c r="N12" s="236"/>
      <c r="O12" s="236"/>
      <c r="P12" s="236"/>
      <c r="Q12" s="236"/>
    </row>
    <row r="13" spans="1:17" s="70" customFormat="1" x14ac:dyDescent="0.35">
      <c r="A13" s="705"/>
      <c r="B13" s="705">
        <v>2</v>
      </c>
      <c r="C13" s="706">
        <v>1</v>
      </c>
      <c r="D13" s="706" t="s">
        <v>46</v>
      </c>
      <c r="E13" s="707" t="s">
        <v>1048</v>
      </c>
      <c r="F13" s="706" t="s">
        <v>110</v>
      </c>
      <c r="G13" s="708">
        <f>VLOOKUP(F13,Volumenes!$D$20:$F$184,3,FALSE)</f>
        <v>11.891054030115146</v>
      </c>
      <c r="H13" s="715">
        <f>+Tiempos!E60</f>
        <v>10</v>
      </c>
      <c r="I13" s="710">
        <f>+Tiempos!F60</f>
        <v>8.5470085470085472E-2</v>
      </c>
      <c r="J13" s="711">
        <f>+I13*(1+Tiempos!$C$17)</f>
        <v>8.9957264957264957E-2</v>
      </c>
      <c r="K13" s="712">
        <f>+J13*G13</f>
        <v>1.0696866980082216</v>
      </c>
      <c r="L13" s="710">
        <f>+K13/Tiempos!$B$11</f>
        <v>2.3254058652352645E-3</v>
      </c>
      <c r="M13" s="713">
        <f>+K13/Tiempos!$B$12</f>
        <v>1.1627029326176323E-3</v>
      </c>
      <c r="N13" s="714"/>
      <c r="O13" s="714"/>
      <c r="P13" s="714"/>
      <c r="Q13" s="234"/>
    </row>
    <row r="14" spans="1:17" s="70" customFormat="1" x14ac:dyDescent="0.35">
      <c r="A14" s="81"/>
      <c r="B14" s="81">
        <v>2</v>
      </c>
      <c r="C14" s="83">
        <v>1</v>
      </c>
      <c r="D14" s="83" t="s">
        <v>327</v>
      </c>
      <c r="E14" s="113" t="s">
        <v>1049</v>
      </c>
      <c r="F14" s="83" t="str">
        <f>+Volumenes!D52</f>
        <v>BUL_ENTR</v>
      </c>
      <c r="G14" s="143">
        <f>VLOOKUP(F14,Volumenes!$D$20:$F$184,3,FALSE)</f>
        <v>120.0271646352587</v>
      </c>
      <c r="H14" s="97"/>
      <c r="I14" s="98">
        <f>25/60</f>
        <v>0.41666666666666669</v>
      </c>
      <c r="J14" s="110">
        <f>+I14*(1+Tiempos!$C$17)</f>
        <v>0.43854166666666666</v>
      </c>
      <c r="K14" s="123">
        <f t="shared" si="0"/>
        <v>52.63691282442074</v>
      </c>
      <c r="L14" s="98">
        <f>+K14/Tiempos!$B$11</f>
        <v>0.11442807135743639</v>
      </c>
      <c r="M14" s="261">
        <f>+K14/Tiempos!$B$12</f>
        <v>5.7214035678718196E-2</v>
      </c>
      <c r="N14" s="236"/>
      <c r="O14" s="236"/>
      <c r="P14" s="236"/>
      <c r="Q14" s="236"/>
    </row>
    <row r="15" spans="1:17" s="70" customFormat="1" x14ac:dyDescent="0.35">
      <c r="A15" s="92"/>
      <c r="B15" s="92">
        <v>2</v>
      </c>
      <c r="C15" s="100">
        <v>1</v>
      </c>
      <c r="D15" s="100" t="s">
        <v>327</v>
      </c>
      <c r="E15" s="112" t="s">
        <v>210</v>
      </c>
      <c r="F15" s="100" t="s">
        <v>168</v>
      </c>
      <c r="G15" s="144">
        <f>VLOOKUP(F15,Volumenes!$D$20:$F$184,3,FALSE)</f>
        <v>120.0271646352587</v>
      </c>
      <c r="H15" s="155">
        <f>+Tiempos!E46</f>
        <v>15</v>
      </c>
      <c r="I15" s="103">
        <f>+Tiempos!F46</f>
        <v>0.12820512820512822</v>
      </c>
      <c r="J15" s="111">
        <f>+I15*(1+Tiempos!$C$17)</f>
        <v>0.13493589743589746</v>
      </c>
      <c r="K15" s="146">
        <f t="shared" si="0"/>
        <v>16.195973176744847</v>
      </c>
      <c r="L15" s="103">
        <f>+K15/Tiempos!$B$11</f>
        <v>3.5208637340749666E-2</v>
      </c>
      <c r="M15" s="262">
        <f>+K15/Tiempos!$B$12</f>
        <v>1.7604318670374833E-2</v>
      </c>
      <c r="N15" s="237"/>
      <c r="O15" s="237"/>
      <c r="P15" s="237"/>
      <c r="Q15" s="237"/>
    </row>
    <row r="16" spans="1:17" s="70" customFormat="1" x14ac:dyDescent="0.35">
      <c r="A16" s="81"/>
      <c r="B16" s="81">
        <v>2</v>
      </c>
      <c r="C16" s="83">
        <v>1</v>
      </c>
      <c r="D16" s="83" t="s">
        <v>327</v>
      </c>
      <c r="E16" s="113" t="s">
        <v>81</v>
      </c>
      <c r="F16" s="83" t="str">
        <f>+F14</f>
        <v>BUL_ENTR</v>
      </c>
      <c r="G16" s="143">
        <f>VLOOKUP(F16,Volumenes!$D$20:$F$184,3,FALSE)</f>
        <v>120.0271646352587</v>
      </c>
      <c r="H16" s="97"/>
      <c r="I16" s="98">
        <f>15/60</f>
        <v>0.25</v>
      </c>
      <c r="J16" s="110">
        <f>+I16*(1+Tiempos!$C$17)</f>
        <v>0.263125</v>
      </c>
      <c r="K16" s="123">
        <f t="shared" si="0"/>
        <v>31.582147694652445</v>
      </c>
      <c r="L16" s="98">
        <f>+K16/Tiempos!$B$11</f>
        <v>6.8656842814461841E-2</v>
      </c>
      <c r="M16" s="261">
        <f>+K16/Tiempos!$B$12</f>
        <v>3.432842140723092E-2</v>
      </c>
      <c r="N16" s="236"/>
      <c r="O16" s="236"/>
      <c r="P16" s="236"/>
      <c r="Q16" s="236"/>
    </row>
    <row r="17" spans="1:17" s="70" customFormat="1" x14ac:dyDescent="0.35">
      <c r="A17" s="81"/>
      <c r="B17" s="81">
        <v>2</v>
      </c>
      <c r="C17" s="83">
        <v>1</v>
      </c>
      <c r="D17" s="83" t="s">
        <v>327</v>
      </c>
      <c r="E17" s="113" t="s">
        <v>50</v>
      </c>
      <c r="F17" s="83" t="s">
        <v>60</v>
      </c>
      <c r="G17" s="143">
        <f>VLOOKUP(F17,Volumenes!$D$20:$F$184,3,FALSE)</f>
        <v>0.74349999999999994</v>
      </c>
      <c r="H17" s="97"/>
      <c r="I17" s="98">
        <f>10/60</f>
        <v>0.16666666666666666</v>
      </c>
      <c r="J17" s="110">
        <f>+I17*(1+Tiempos!$C$17)</f>
        <v>0.17541666666666667</v>
      </c>
      <c r="K17" s="123">
        <f t="shared" si="0"/>
        <v>0.13042229166666666</v>
      </c>
      <c r="L17" s="98">
        <f>+K17/Tiempos!$B$11</f>
        <v>2.8352672101449272E-4</v>
      </c>
      <c r="M17" s="261">
        <f>+K17/Tiempos!$B$12</f>
        <v>1.4176336050724636E-4</v>
      </c>
      <c r="N17" s="236"/>
      <c r="O17" s="236"/>
      <c r="P17" s="236"/>
      <c r="Q17" s="236"/>
    </row>
    <row r="18" spans="1:17" s="70" customFormat="1" x14ac:dyDescent="0.35">
      <c r="A18" s="81"/>
      <c r="B18" s="81">
        <v>2</v>
      </c>
      <c r="C18" s="83">
        <v>1</v>
      </c>
      <c r="D18" s="83" t="s">
        <v>327</v>
      </c>
      <c r="E18" s="113" t="s">
        <v>61</v>
      </c>
      <c r="F18" s="83" t="s">
        <v>60</v>
      </c>
      <c r="G18" s="143">
        <f>VLOOKUP(F18,Volumenes!$D$20:$F$184,3,FALSE)</f>
        <v>0.74349999999999994</v>
      </c>
      <c r="H18" s="97"/>
      <c r="I18" s="98">
        <f>25/60</f>
        <v>0.41666666666666669</v>
      </c>
      <c r="J18" s="110">
        <f>+I18*(1+Tiempos!$C$17)</f>
        <v>0.43854166666666666</v>
      </c>
      <c r="K18" s="123">
        <f t="shared" si="0"/>
        <v>0.32605572916666664</v>
      </c>
      <c r="L18" s="98">
        <f>+K18/Tiempos!$B$11</f>
        <v>7.0881680253623183E-4</v>
      </c>
      <c r="M18" s="261">
        <f>+K18/Tiempos!$B$12</f>
        <v>3.5440840126811592E-4</v>
      </c>
      <c r="N18" s="236"/>
      <c r="O18" s="236"/>
      <c r="P18" s="236"/>
      <c r="Q18" s="236"/>
    </row>
    <row r="19" spans="1:17" s="70" customFormat="1" x14ac:dyDescent="0.35">
      <c r="A19" s="92"/>
      <c r="B19" s="92">
        <v>2</v>
      </c>
      <c r="C19" s="100">
        <v>1</v>
      </c>
      <c r="D19" s="100" t="s">
        <v>327</v>
      </c>
      <c r="E19" s="112" t="s">
        <v>92</v>
      </c>
      <c r="F19" s="100" t="s">
        <v>60</v>
      </c>
      <c r="G19" s="144">
        <f>VLOOKUP(F19,Volumenes!$D$20:$F$184,3,FALSE)</f>
        <v>0.74349999999999994</v>
      </c>
      <c r="H19" s="102">
        <v>30</v>
      </c>
      <c r="I19" s="103">
        <f>+(H19/Tiempos!B29)/60</f>
        <v>0.25641025641025644</v>
      </c>
      <c r="J19" s="111">
        <f>+I19*(1+Tiempos!$C$17)</f>
        <v>0.26987179487179491</v>
      </c>
      <c r="K19" s="146">
        <f t="shared" si="0"/>
        <v>0.20064967948717949</v>
      </c>
      <c r="L19" s="103">
        <f>+K19/Tiempos!$B$11</f>
        <v>4.3619495540691194E-4</v>
      </c>
      <c r="M19" s="262">
        <f>+K19/Tiempos!$B$12</f>
        <v>2.1809747770345597E-4</v>
      </c>
      <c r="N19" s="237"/>
      <c r="O19" s="237"/>
      <c r="P19" s="237"/>
      <c r="Q19" s="237"/>
    </row>
    <row r="20" spans="1:17" s="70" customFormat="1" x14ac:dyDescent="0.35">
      <c r="A20" s="81"/>
      <c r="B20" s="81">
        <v>2</v>
      </c>
      <c r="C20" s="83">
        <v>1</v>
      </c>
      <c r="D20" s="83" t="s">
        <v>46</v>
      </c>
      <c r="E20" s="113" t="s">
        <v>51</v>
      </c>
      <c r="F20" s="83" t="s">
        <v>60</v>
      </c>
      <c r="G20" s="143">
        <f>VLOOKUP(F20,Volumenes!$D$20:$F$184,3,FALSE)</f>
        <v>0.74349999999999994</v>
      </c>
      <c r="H20" s="97"/>
      <c r="I20" s="98">
        <f>60/60</f>
        <v>1</v>
      </c>
      <c r="J20" s="110">
        <f>+I20*(1+Tiempos!$C$17)</f>
        <v>1.0525</v>
      </c>
      <c r="K20" s="123">
        <f t="shared" si="0"/>
        <v>0.78253374999999992</v>
      </c>
      <c r="L20" s="98">
        <f>+K20/Tiempos!$B$11</f>
        <v>1.7011603260869564E-3</v>
      </c>
      <c r="M20" s="261"/>
      <c r="N20" s="235"/>
      <c r="O20" s="235"/>
      <c r="P20" s="235"/>
      <c r="Q20" s="235"/>
    </row>
    <row r="21" spans="1:17" s="70" customFormat="1" x14ac:dyDescent="0.35">
      <c r="A21" s="81"/>
      <c r="B21" s="81">
        <v>2</v>
      </c>
      <c r="C21" s="83">
        <v>1</v>
      </c>
      <c r="D21" s="83" t="s">
        <v>46</v>
      </c>
      <c r="E21" s="113" t="s">
        <v>209</v>
      </c>
      <c r="F21" s="83" t="s">
        <v>60</v>
      </c>
      <c r="G21" s="143">
        <f>VLOOKUP(F21,Volumenes!$D$20:$F$184,3,FALSE)</f>
        <v>0.74349999999999994</v>
      </c>
      <c r="H21" s="97"/>
      <c r="I21" s="98">
        <f>30/60</f>
        <v>0.5</v>
      </c>
      <c r="J21" s="110">
        <f>+I21*(1+Tiempos!$C$17)</f>
        <v>0.52625</v>
      </c>
      <c r="K21" s="123">
        <f t="shared" si="0"/>
        <v>0.39126687499999996</v>
      </c>
      <c r="L21" s="98">
        <f>+K21/Tiempos!$B$11</f>
        <v>8.5058016304347822E-4</v>
      </c>
      <c r="M21" s="261"/>
      <c r="N21" s="235"/>
      <c r="O21" s="235"/>
      <c r="P21" s="235"/>
      <c r="Q21" s="235"/>
    </row>
    <row r="22" spans="1:17" s="70" customFormat="1" x14ac:dyDescent="0.35">
      <c r="A22" s="92"/>
      <c r="B22" s="92">
        <v>2</v>
      </c>
      <c r="C22" s="100">
        <v>1</v>
      </c>
      <c r="D22" s="100" t="s">
        <v>46</v>
      </c>
      <c r="E22" s="112" t="s">
        <v>52</v>
      </c>
      <c r="F22" s="100" t="str">
        <f>+Volumenes!D25</f>
        <v>CAMION</v>
      </c>
      <c r="G22" s="144">
        <f>VLOOKUP(F22,Volumenes!$D$20:$F$184,3,FALSE)</f>
        <v>11.891054030115146</v>
      </c>
      <c r="H22" s="155">
        <f>+Tiempos!E42</f>
        <v>20</v>
      </c>
      <c r="I22" s="103">
        <f>+Tiempos!F42</f>
        <v>0.22644927536231885</v>
      </c>
      <c r="J22" s="111">
        <f>+I22*(1+Tiempos!$C$17)</f>
        <v>0.23833786231884058</v>
      </c>
      <c r="K22" s="146">
        <f t="shared" si="0"/>
        <v>2.8340883982554783</v>
      </c>
      <c r="L22" s="103">
        <f>+K22/Tiempos!$B$11</f>
        <v>6.161061735337996E-3</v>
      </c>
      <c r="M22" s="262"/>
      <c r="N22" s="234"/>
      <c r="O22" s="234"/>
      <c r="P22" s="234"/>
      <c r="Q22" s="234"/>
    </row>
    <row r="23" spans="1:17" s="70" customFormat="1" x14ac:dyDescent="0.35">
      <c r="A23" s="81"/>
      <c r="B23" s="81">
        <v>2</v>
      </c>
      <c r="C23" s="83">
        <v>1</v>
      </c>
      <c r="D23" s="83" t="s">
        <v>46</v>
      </c>
      <c r="E23" s="113" t="s">
        <v>1089</v>
      </c>
      <c r="F23" s="81" t="s">
        <v>168</v>
      </c>
      <c r="G23" s="143">
        <f>VLOOKUP(F23,Volumenes!$D$20:$F$184,3,FALSE)</f>
        <v>120.0271646352587</v>
      </c>
      <c r="H23" s="97"/>
      <c r="I23" s="98">
        <f>8/60</f>
        <v>0.13333333333333333</v>
      </c>
      <c r="J23" s="110">
        <f>+I23*(1+Tiempos!$C$17)</f>
        <v>0.14033333333333334</v>
      </c>
      <c r="K23" s="123">
        <f t="shared" si="0"/>
        <v>16.843812103814638</v>
      </c>
      <c r="L23" s="98">
        <f>+K23/Tiempos!$B$11</f>
        <v>3.6616982834379648E-2</v>
      </c>
      <c r="M23" s="261"/>
      <c r="N23" s="233"/>
      <c r="O23" s="233"/>
      <c r="P23" s="233"/>
      <c r="Q23" s="233"/>
    </row>
    <row r="24" spans="1:17" s="70" customFormat="1" x14ac:dyDescent="0.35">
      <c r="A24" s="92"/>
      <c r="B24" s="92">
        <v>2</v>
      </c>
      <c r="C24" s="100">
        <v>1</v>
      </c>
      <c r="D24" s="100" t="s">
        <v>46</v>
      </c>
      <c r="E24" s="112" t="s">
        <v>181</v>
      </c>
      <c r="F24" s="92" t="str">
        <f>+Volumenes!D25</f>
        <v>CAMION</v>
      </c>
      <c r="G24" s="144">
        <f>VLOOKUP(F24,Volumenes!$D$20:$F$184,3,FALSE)</f>
        <v>11.891054030115146</v>
      </c>
      <c r="H24" s="102">
        <f>+Tiempos!E47</f>
        <v>20</v>
      </c>
      <c r="I24" s="103">
        <f>+Tiempos!F47</f>
        <v>0.22644927536231885</v>
      </c>
      <c r="J24" s="111">
        <f>+I24*(1+Tiempos!$C$17)</f>
        <v>0.23833786231884058</v>
      </c>
      <c r="K24" s="146">
        <f t="shared" si="0"/>
        <v>2.8340883982554783</v>
      </c>
      <c r="L24" s="103">
        <f>+K24/Tiempos!$B$11</f>
        <v>6.161061735337996E-3</v>
      </c>
      <c r="M24" s="262"/>
      <c r="N24" s="234"/>
      <c r="O24" s="234"/>
      <c r="P24" s="234"/>
      <c r="Q24" s="234"/>
    </row>
    <row r="25" spans="1:17" s="70" customFormat="1" x14ac:dyDescent="0.35">
      <c r="A25" s="92"/>
      <c r="B25" s="92">
        <v>2</v>
      </c>
      <c r="C25" s="100">
        <v>1</v>
      </c>
      <c r="D25" s="100" t="s">
        <v>46</v>
      </c>
      <c r="E25" s="112" t="s">
        <v>54</v>
      </c>
      <c r="F25" s="92" t="str">
        <f>+Volumenes!D25</f>
        <v>CAMION</v>
      </c>
      <c r="G25" s="144">
        <f>VLOOKUP(F25,Volumenes!$D$20:$F$184,3,FALSE)</f>
        <v>11.891054030115146</v>
      </c>
      <c r="H25" s="155">
        <f>+Tiempos!E42</f>
        <v>20</v>
      </c>
      <c r="I25" s="103">
        <f>+Tiempos!F42</f>
        <v>0.22644927536231885</v>
      </c>
      <c r="J25" s="111">
        <f>+I25*(1+Tiempos!$C$17)</f>
        <v>0.23833786231884058</v>
      </c>
      <c r="K25" s="146">
        <f t="shared" si="0"/>
        <v>2.8340883982554783</v>
      </c>
      <c r="L25" s="103">
        <f>+K25/Tiempos!$B$11</f>
        <v>6.161061735337996E-3</v>
      </c>
      <c r="M25" s="262"/>
      <c r="N25" s="234"/>
      <c r="O25" s="234"/>
      <c r="P25" s="234"/>
      <c r="Q25" s="234"/>
    </row>
    <row r="26" spans="1:17" s="70" customFormat="1" x14ac:dyDescent="0.35">
      <c r="A26" s="81"/>
      <c r="B26" s="81">
        <v>2</v>
      </c>
      <c r="C26" s="83">
        <v>1</v>
      </c>
      <c r="D26" s="83" t="s">
        <v>46</v>
      </c>
      <c r="E26" s="113" t="s">
        <v>211</v>
      </c>
      <c r="F26" s="81" t="str">
        <f>+F25</f>
        <v>CAMION</v>
      </c>
      <c r="G26" s="143">
        <f>VLOOKUP(F26,Volumenes!$D$20:$F$184,3,FALSE)</f>
        <v>11.891054030115146</v>
      </c>
      <c r="H26" s="97"/>
      <c r="I26" s="98">
        <f>10/60</f>
        <v>0.16666666666666666</v>
      </c>
      <c r="J26" s="110">
        <f>+I26*(1+Tiempos!$C$17)</f>
        <v>0.17541666666666667</v>
      </c>
      <c r="K26" s="123">
        <f t="shared" si="0"/>
        <v>2.0858890611160321</v>
      </c>
      <c r="L26" s="98">
        <f>+K26/Tiempos!$B$11</f>
        <v>4.5345414372087653E-3</v>
      </c>
      <c r="M26" s="261"/>
      <c r="N26" s="233"/>
      <c r="O26" s="233"/>
      <c r="P26" s="233"/>
      <c r="Q26" s="233"/>
    </row>
    <row r="27" spans="1:17" s="70" customFormat="1" x14ac:dyDescent="0.35">
      <c r="A27" s="81"/>
      <c r="B27" s="81">
        <v>2</v>
      </c>
      <c r="C27" s="83">
        <v>1</v>
      </c>
      <c r="D27" s="83" t="s">
        <v>46</v>
      </c>
      <c r="E27" s="113" t="s">
        <v>212</v>
      </c>
      <c r="F27" s="81" t="s">
        <v>263</v>
      </c>
      <c r="G27" s="143">
        <f>VLOOKUP(F27,Volumenes!$D$20:$F$184,3,FALSE)</f>
        <v>446.20363792983267</v>
      </c>
      <c r="H27" s="97"/>
      <c r="I27" s="98">
        <f>5/60</f>
        <v>8.3333333333333329E-2</v>
      </c>
      <c r="J27" s="110">
        <f>+I27*(1+Tiempos!$C$17)</f>
        <v>8.7708333333333333E-2</v>
      </c>
      <c r="K27" s="123">
        <f>+J27*G27</f>
        <v>39.135777410095741</v>
      </c>
      <c r="L27" s="98">
        <f>+K27/Tiempos!$B$11</f>
        <v>8.5077776978469008E-2</v>
      </c>
      <c r="M27" s="261"/>
      <c r="N27" s="233"/>
      <c r="O27" s="233"/>
      <c r="P27" s="233"/>
      <c r="Q27" s="233"/>
    </row>
    <row r="28" spans="1:17" x14ac:dyDescent="0.35">
      <c r="A28" s="92"/>
      <c r="B28" s="92">
        <v>2</v>
      </c>
      <c r="C28" s="100">
        <v>1</v>
      </c>
      <c r="D28" s="100" t="s">
        <v>46</v>
      </c>
      <c r="E28" s="112" t="s">
        <v>213</v>
      </c>
      <c r="F28" s="92" t="str">
        <f>+F24</f>
        <v>CAMION</v>
      </c>
      <c r="G28" s="144">
        <f>VLOOKUP(F28,Volumenes!$D$20:$F$184,3,FALSE)</f>
        <v>11.891054030115146</v>
      </c>
      <c r="H28" s="102">
        <f>+H24</f>
        <v>20</v>
      </c>
      <c r="I28" s="103">
        <f>+I24</f>
        <v>0.22644927536231885</v>
      </c>
      <c r="J28" s="111">
        <f>+I28*(1+Tiempos!$C$17)</f>
        <v>0.23833786231884058</v>
      </c>
      <c r="K28" s="146">
        <f t="shared" si="0"/>
        <v>2.8340883982554783</v>
      </c>
      <c r="L28" s="103">
        <f>+K28/Tiempos!$B$11</f>
        <v>6.161061735337996E-3</v>
      </c>
      <c r="M28" s="262"/>
      <c r="N28" s="234"/>
      <c r="O28" s="234"/>
      <c r="P28" s="234"/>
      <c r="Q28" s="234"/>
    </row>
    <row r="29" spans="1:17" x14ac:dyDescent="0.35">
      <c r="A29" s="81"/>
      <c r="B29" s="81">
        <v>2</v>
      </c>
      <c r="C29" s="83">
        <v>1</v>
      </c>
      <c r="D29" s="83" t="s">
        <v>46</v>
      </c>
      <c r="E29" s="114" t="s">
        <v>214</v>
      </c>
      <c r="F29" s="81" t="str">
        <f>+Volumenes!D67</f>
        <v>MAT_NOOK</v>
      </c>
      <c r="G29" s="143">
        <f>VLOOKUP(F29,Volumenes!$D$20:$F$184,3,FALSE)</f>
        <v>2.198787738878301</v>
      </c>
      <c r="H29" s="97"/>
      <c r="I29" s="98">
        <f>15/60</f>
        <v>0.25</v>
      </c>
      <c r="J29" s="110">
        <f>+I29*(1+Tiempos!$C$17)</f>
        <v>0.263125</v>
      </c>
      <c r="K29" s="123">
        <f t="shared" si="0"/>
        <v>0.57855602379235294</v>
      </c>
      <c r="L29" s="98">
        <f>+K29/Tiempos!$B$11</f>
        <v>1.2577304865051151E-3</v>
      </c>
      <c r="M29" s="261"/>
      <c r="N29" s="233"/>
      <c r="O29" s="233"/>
      <c r="P29" s="233"/>
      <c r="Q29" s="233"/>
    </row>
    <row r="30" spans="1:17" ht="13.15" x14ac:dyDescent="0.4">
      <c r="A30" s="183"/>
      <c r="B30" s="81">
        <v>2</v>
      </c>
      <c r="C30" s="83">
        <v>1</v>
      </c>
      <c r="D30" s="83" t="s">
        <v>327</v>
      </c>
      <c r="E30" s="114" t="s">
        <v>225</v>
      </c>
      <c r="F30" s="81" t="str">
        <f>+Volumenes!D133</f>
        <v>VIA_ESTIVA</v>
      </c>
      <c r="G30" s="143">
        <f>+Volumenes!F133</f>
        <v>38.206666666666663</v>
      </c>
      <c r="H30" s="180"/>
      <c r="I30" s="98">
        <f>20/60</f>
        <v>0.33333333333333331</v>
      </c>
      <c r="J30" s="110">
        <f>+I30*(1+Tiempos!$C$17)</f>
        <v>0.35083333333333333</v>
      </c>
      <c r="K30" s="123">
        <f>+J30*G30</f>
        <v>13.40417222222222</v>
      </c>
      <c r="L30" s="98">
        <f>+K30/Tiempos!$B$11</f>
        <v>2.9139504830917869E-2</v>
      </c>
      <c r="M30" s="261">
        <f>+K30/Tiempos!$B$12</f>
        <v>1.4569752415458935E-2</v>
      </c>
      <c r="N30" s="236"/>
      <c r="O30" s="236"/>
      <c r="P30" s="236"/>
      <c r="Q30" s="236"/>
    </row>
    <row r="31" spans="1:17" ht="13.15" x14ac:dyDescent="0.4">
      <c r="A31" s="184"/>
      <c r="B31" s="92">
        <v>2</v>
      </c>
      <c r="C31" s="100">
        <v>1</v>
      </c>
      <c r="D31" s="100" t="s">
        <v>327</v>
      </c>
      <c r="E31" s="178" t="s">
        <v>227</v>
      </c>
      <c r="F31" s="92" t="str">
        <f>+Volumenes!D133</f>
        <v>VIA_ESTIVA</v>
      </c>
      <c r="G31" s="144">
        <f>+Volumenes!F133</f>
        <v>38.206666666666663</v>
      </c>
      <c r="H31" s="155">
        <f>+Tiempos!E49</f>
        <v>10</v>
      </c>
      <c r="I31" s="103">
        <f>+Tiempos!F49</f>
        <v>8.5470085470085472E-2</v>
      </c>
      <c r="J31" s="111">
        <f>+I31*(1+Tiempos!$C$17)</f>
        <v>8.9957264957264957E-2</v>
      </c>
      <c r="K31" s="146">
        <f>+J31*G31</f>
        <v>3.4369672364672361</v>
      </c>
      <c r="L31" s="103">
        <f>+K31/Tiempos!$B$11</f>
        <v>7.4716679053635571E-3</v>
      </c>
      <c r="M31" s="262">
        <f>+K31/Tiempos!$B$12</f>
        <v>3.7358339526817786E-3</v>
      </c>
      <c r="N31" s="237"/>
      <c r="O31" s="237"/>
      <c r="P31" s="237"/>
      <c r="Q31" s="237"/>
    </row>
    <row r="32" spans="1:17" x14ac:dyDescent="0.35">
      <c r="A32" s="81"/>
      <c r="B32" s="81">
        <v>2</v>
      </c>
      <c r="C32" s="83">
        <v>1</v>
      </c>
      <c r="D32" s="83" t="s">
        <v>327</v>
      </c>
      <c r="E32" s="114" t="s">
        <v>228</v>
      </c>
      <c r="F32" s="81" t="str">
        <f>+Volumenes!D132</f>
        <v>BUL_DECANT</v>
      </c>
      <c r="G32" s="143">
        <f>+Volumenes!F132</f>
        <v>114.61999999999999</v>
      </c>
      <c r="H32" s="180"/>
      <c r="I32" s="98">
        <f>11/60</f>
        <v>0.18333333333333332</v>
      </c>
      <c r="J32" s="110">
        <f>+I32*(1+Tiempos!$C$17)</f>
        <v>0.19295833333333332</v>
      </c>
      <c r="K32" s="123">
        <f>+J32*G32</f>
        <v>22.116884166666662</v>
      </c>
      <c r="L32" s="98">
        <f>+K32/Tiempos!$B$11</f>
        <v>4.8080182971014483E-2</v>
      </c>
      <c r="M32" s="261">
        <f>+K32/Tiempos!$B$12</f>
        <v>2.4040091485507242E-2</v>
      </c>
      <c r="N32" s="236"/>
      <c r="O32" s="236"/>
      <c r="P32" s="236"/>
      <c r="Q32" s="236"/>
    </row>
    <row r="33" spans="1:17" x14ac:dyDescent="0.35">
      <c r="A33" s="81"/>
      <c r="B33" s="81">
        <v>2</v>
      </c>
      <c r="C33" s="83">
        <v>1</v>
      </c>
      <c r="D33" s="83" t="s">
        <v>327</v>
      </c>
      <c r="E33" s="114" t="s">
        <v>229</v>
      </c>
      <c r="F33" s="81" t="str">
        <f>+Volumenes!D132</f>
        <v>BUL_DECANT</v>
      </c>
      <c r="G33" s="143">
        <f>+Volumenes!F132</f>
        <v>114.61999999999999</v>
      </c>
      <c r="H33" s="180"/>
      <c r="I33" s="98">
        <f>11/60</f>
        <v>0.18333333333333332</v>
      </c>
      <c r="J33" s="110">
        <f>+I33*(1+Tiempos!$C$17)</f>
        <v>0.19295833333333332</v>
      </c>
      <c r="K33" s="123">
        <f>+J33*G33</f>
        <v>22.116884166666662</v>
      </c>
      <c r="L33" s="98">
        <f>+K33/Tiempos!$B$11</f>
        <v>4.8080182971014483E-2</v>
      </c>
      <c r="M33" s="261">
        <f>+K33/Tiempos!$B$12</f>
        <v>2.4040091485507242E-2</v>
      </c>
      <c r="N33" s="236"/>
      <c r="O33" s="236"/>
      <c r="P33" s="236"/>
      <c r="Q33" s="236"/>
    </row>
    <row r="34" spans="1:17" x14ac:dyDescent="0.35">
      <c r="A34" s="92"/>
      <c r="B34" s="92">
        <v>2</v>
      </c>
      <c r="C34" s="100">
        <v>1</v>
      </c>
      <c r="D34" s="100" t="s">
        <v>327</v>
      </c>
      <c r="E34" s="178" t="s">
        <v>226</v>
      </c>
      <c r="F34" s="92" t="str">
        <f>+Volumenes!D132</f>
        <v>BUL_DECANT</v>
      </c>
      <c r="G34" s="144">
        <f>+Volumenes!F132</f>
        <v>114.61999999999999</v>
      </c>
      <c r="H34" s="155">
        <v>6</v>
      </c>
      <c r="I34" s="103">
        <f>+Tiempos!F48</f>
        <v>6.7934782608695649E-2</v>
      </c>
      <c r="J34" s="111">
        <f>+I34*(1+Tiempos!$C$17)</f>
        <v>7.1501358695652176E-2</v>
      </c>
      <c r="K34" s="146">
        <f>+J34*G34</f>
        <v>8.1954857336956515</v>
      </c>
      <c r="L34" s="103">
        <f>+K34/Tiempos!$B$11</f>
        <v>1.7816273334120981E-2</v>
      </c>
      <c r="M34" s="262">
        <f>+K34/Tiempos!$B$12</f>
        <v>8.9081366670604907E-3</v>
      </c>
      <c r="N34" s="237"/>
      <c r="O34" s="237"/>
      <c r="P34" s="237"/>
      <c r="Q34" s="237"/>
    </row>
    <row r="35" spans="1:17" x14ac:dyDescent="0.35">
      <c r="A35" s="92"/>
      <c r="B35" s="92">
        <v>2</v>
      </c>
      <c r="C35" s="100">
        <v>1</v>
      </c>
      <c r="D35" s="100" t="s">
        <v>46</v>
      </c>
      <c r="E35" s="112" t="s">
        <v>55</v>
      </c>
      <c r="F35" s="92" t="str">
        <f>+Volumenes!D25</f>
        <v>CAMION</v>
      </c>
      <c r="G35" s="144">
        <f>VLOOKUP(F35,Volumenes!$D$20:$F$184,3,FALSE)</f>
        <v>11.891054030115146</v>
      </c>
      <c r="H35" s="155">
        <f>+Tiempos!E42</f>
        <v>20</v>
      </c>
      <c r="I35" s="103">
        <f>+Tiempos!F42</f>
        <v>0.22644927536231885</v>
      </c>
      <c r="J35" s="111">
        <f>+I35*(1+Tiempos!$C$17)</f>
        <v>0.23833786231884058</v>
      </c>
      <c r="K35" s="146">
        <f t="shared" si="0"/>
        <v>2.8340883982554783</v>
      </c>
      <c r="L35" s="103">
        <f>+K35/Tiempos!$B$11</f>
        <v>6.161061735337996E-3</v>
      </c>
      <c r="M35" s="262"/>
      <c r="N35" s="237"/>
      <c r="O35" s="237"/>
      <c r="P35" s="237"/>
      <c r="Q35" s="237"/>
    </row>
    <row r="36" spans="1:17" x14ac:dyDescent="0.35">
      <c r="A36" s="81"/>
      <c r="B36" s="81">
        <v>2</v>
      </c>
      <c r="C36" s="83">
        <v>1</v>
      </c>
      <c r="D36" s="83" t="s">
        <v>46</v>
      </c>
      <c r="E36" s="113" t="s">
        <v>238</v>
      </c>
      <c r="F36" s="81" t="s">
        <v>146</v>
      </c>
      <c r="G36" s="143">
        <f>VLOOKUP(F36,Volumenes!$D$20:$F$184,3,FALSE)</f>
        <v>2.198787738878301</v>
      </c>
      <c r="H36" s="180"/>
      <c r="I36" s="98">
        <f>60/60</f>
        <v>1</v>
      </c>
      <c r="J36" s="110">
        <f>+I36*(1+Tiempos!$C$17)</f>
        <v>1.0525</v>
      </c>
      <c r="K36" s="123">
        <f>+J36*G36</f>
        <v>2.3142240951694117</v>
      </c>
      <c r="L36" s="98">
        <f>+K36/Tiempos!$B$11</f>
        <v>5.0309219460204606E-3</v>
      </c>
      <c r="M36" s="261"/>
      <c r="N36" s="236"/>
      <c r="O36" s="236"/>
      <c r="P36" s="236"/>
      <c r="Q36" s="236"/>
    </row>
    <row r="37" spans="1:17" x14ac:dyDescent="0.35">
      <c r="A37" s="81"/>
      <c r="B37" s="81">
        <v>2</v>
      </c>
      <c r="C37" s="83">
        <v>1</v>
      </c>
      <c r="D37" s="83" t="s">
        <v>46</v>
      </c>
      <c r="E37" s="113" t="s">
        <v>1090</v>
      </c>
      <c r="F37" s="81" t="str">
        <f>+F35</f>
        <v>CAMION</v>
      </c>
      <c r="G37" s="143">
        <f>VLOOKUP(F37,Volumenes!$D$20:$F$184,3,FALSE)</f>
        <v>11.891054030115146</v>
      </c>
      <c r="H37" s="97"/>
      <c r="I37" s="98">
        <v>5</v>
      </c>
      <c r="J37" s="110">
        <f>+I37*(1+Tiempos!$C$17)</f>
        <v>5.2625000000000002</v>
      </c>
      <c r="K37" s="123">
        <f t="shared" si="0"/>
        <v>62.576671833480958</v>
      </c>
      <c r="L37" s="98">
        <f>+K37/Tiempos!$B$11</f>
        <v>0.13603624311626294</v>
      </c>
      <c r="M37" s="261"/>
      <c r="N37" s="236"/>
      <c r="O37" s="236"/>
      <c r="P37" s="236"/>
      <c r="Q37" s="236"/>
    </row>
    <row r="38" spans="1:17" x14ac:dyDescent="0.35">
      <c r="A38" s="81"/>
      <c r="B38" s="81">
        <v>2</v>
      </c>
      <c r="C38" s="83">
        <v>1</v>
      </c>
      <c r="D38" s="83" t="s">
        <v>46</v>
      </c>
      <c r="E38" s="113" t="s">
        <v>216</v>
      </c>
      <c r="F38" s="81" t="s">
        <v>217</v>
      </c>
      <c r="G38" s="143">
        <f>VLOOKUP(F38,Volumenes!$D$20:$F$184,3,FALSE)</f>
        <v>8.9240727585966528</v>
      </c>
      <c r="H38" s="97"/>
      <c r="I38" s="98">
        <v>3</v>
      </c>
      <c r="J38" s="110">
        <f>+I38*(1+Tiempos!$C$17)</f>
        <v>3.1574999999999998</v>
      </c>
      <c r="K38" s="123">
        <f>+J38*G38</f>
        <v>28.177759735268928</v>
      </c>
      <c r="L38" s="98">
        <f>+K38/Tiempos!$B$11</f>
        <v>6.1255999424497672E-2</v>
      </c>
      <c r="M38" s="261"/>
      <c r="N38" s="236"/>
      <c r="O38" s="236"/>
      <c r="P38" s="236"/>
      <c r="Q38" s="236"/>
    </row>
    <row r="39" spans="1:17" x14ac:dyDescent="0.35">
      <c r="A39" s="81"/>
      <c r="B39" s="81">
        <v>2</v>
      </c>
      <c r="C39" s="83">
        <v>1</v>
      </c>
      <c r="D39" s="83" t="s">
        <v>46</v>
      </c>
      <c r="E39" s="113" t="s">
        <v>56</v>
      </c>
      <c r="F39" s="81" t="str">
        <f>+F37</f>
        <v>CAMION</v>
      </c>
      <c r="G39" s="143">
        <f>VLOOKUP(F39,Volumenes!$D$20:$F$184,3,FALSE)</f>
        <v>11.891054030115146</v>
      </c>
      <c r="H39" s="97"/>
      <c r="I39" s="98">
        <f>120/60</f>
        <v>2</v>
      </c>
      <c r="J39" s="110">
        <f>+I39*(1+Tiempos!$C$17)</f>
        <v>2.105</v>
      </c>
      <c r="K39" s="123">
        <f t="shared" si="0"/>
        <v>25.030668733392382</v>
      </c>
      <c r="L39" s="98">
        <f>+K39/Tiempos!$B$11</f>
        <v>5.4414497246505177E-2</v>
      </c>
      <c r="M39" s="261"/>
      <c r="N39" s="236"/>
      <c r="O39" s="236"/>
      <c r="P39" s="236"/>
      <c r="Q39" s="236"/>
    </row>
    <row r="40" spans="1:17" x14ac:dyDescent="0.35">
      <c r="A40" s="81"/>
      <c r="B40" s="81">
        <v>2</v>
      </c>
      <c r="C40" s="83">
        <v>1</v>
      </c>
      <c r="D40" s="83" t="s">
        <v>46</v>
      </c>
      <c r="E40" s="113" t="s">
        <v>218</v>
      </c>
      <c r="F40" s="81" t="s">
        <v>219</v>
      </c>
      <c r="G40" s="143">
        <f>VLOOKUP(F40,Volumenes!$D$20:$F$184,3,FALSE)</f>
        <v>0.89240727585966539</v>
      </c>
      <c r="H40" s="97"/>
      <c r="I40" s="98">
        <v>10</v>
      </c>
      <c r="J40" s="110">
        <f>+I40*(1+Tiempos!$C$17)</f>
        <v>10.525</v>
      </c>
      <c r="K40" s="123">
        <f>+J40*G40</f>
        <v>9.3925865784229785</v>
      </c>
      <c r="L40" s="98">
        <f>+K40/Tiempos!$B$11</f>
        <v>2.0418666474832561E-2</v>
      </c>
      <c r="M40" s="261"/>
      <c r="N40" s="236"/>
      <c r="O40" s="236"/>
      <c r="P40" s="236"/>
      <c r="Q40" s="236"/>
    </row>
    <row r="41" spans="1:17" x14ac:dyDescent="0.35">
      <c r="A41" s="92"/>
      <c r="B41" s="92">
        <v>2</v>
      </c>
      <c r="C41" s="100">
        <v>1</v>
      </c>
      <c r="D41" s="100" t="s">
        <v>46</v>
      </c>
      <c r="E41" s="112" t="s">
        <v>57</v>
      </c>
      <c r="F41" s="92" t="str">
        <f>+F35</f>
        <v>CAMION</v>
      </c>
      <c r="G41" s="144">
        <f>VLOOKUP(F41,Volumenes!$D$20:$F$184,3,FALSE)</f>
        <v>11.891054030115146</v>
      </c>
      <c r="H41" s="155">
        <f>+H35</f>
        <v>20</v>
      </c>
      <c r="I41" s="103">
        <f>+I35</f>
        <v>0.22644927536231885</v>
      </c>
      <c r="J41" s="111">
        <f>+I41*(1+Tiempos!$C$17)</f>
        <v>0.23833786231884058</v>
      </c>
      <c r="K41" s="146">
        <f t="shared" si="0"/>
        <v>2.8340883982554783</v>
      </c>
      <c r="L41" s="103">
        <f>+K41/Tiempos!$B$11</f>
        <v>6.161061735337996E-3</v>
      </c>
      <c r="M41" s="262"/>
      <c r="N41" s="237"/>
      <c r="O41" s="237"/>
      <c r="P41" s="237"/>
      <c r="Q41" s="237"/>
    </row>
    <row r="42" spans="1:17" x14ac:dyDescent="0.35">
      <c r="A42" s="81"/>
      <c r="B42" s="81">
        <v>2</v>
      </c>
      <c r="C42" s="83">
        <v>1</v>
      </c>
      <c r="D42" s="83" t="s">
        <v>46</v>
      </c>
      <c r="E42" s="113" t="s">
        <v>239</v>
      </c>
      <c r="F42" s="81" t="s">
        <v>263</v>
      </c>
      <c r="G42" s="143">
        <f>VLOOKUP(F42,Volumenes!$D$20:$F$184,3,FALSE)</f>
        <v>446.20363792983267</v>
      </c>
      <c r="H42" s="97"/>
      <c r="I42" s="98">
        <f>6/60</f>
        <v>0.1</v>
      </c>
      <c r="J42" s="110">
        <f>+I42*(1+Tiempos!$C$17)</f>
        <v>0.10525000000000001</v>
      </c>
      <c r="K42" s="123">
        <f t="shared" si="0"/>
        <v>46.962932892114893</v>
      </c>
      <c r="L42" s="98">
        <f>+K42/Tiempos!$B$11</f>
        <v>0.10209333237416281</v>
      </c>
      <c r="M42" s="261"/>
      <c r="N42" s="236"/>
      <c r="O42" s="236"/>
      <c r="P42" s="236"/>
      <c r="Q42" s="236"/>
    </row>
    <row r="43" spans="1:17" x14ac:dyDescent="0.35">
      <c r="A43" s="92"/>
      <c r="B43" s="92">
        <v>2</v>
      </c>
      <c r="C43" s="100">
        <v>1</v>
      </c>
      <c r="D43" s="100" t="s">
        <v>46</v>
      </c>
      <c r="E43" s="112" t="s">
        <v>58</v>
      </c>
      <c r="F43" s="92" t="str">
        <f>+F24</f>
        <v>CAMION</v>
      </c>
      <c r="G43" s="144">
        <f>VLOOKUP(F43,Volumenes!$D$20:$F$184,3,FALSE)</f>
        <v>11.891054030115146</v>
      </c>
      <c r="H43" s="102">
        <f>+H24</f>
        <v>20</v>
      </c>
      <c r="I43" s="103">
        <f>+I24</f>
        <v>0.22644927536231885</v>
      </c>
      <c r="J43" s="111">
        <f>+I43*(1+Tiempos!$C$17)</f>
        <v>0.23833786231884058</v>
      </c>
      <c r="K43" s="146">
        <f t="shared" si="0"/>
        <v>2.8340883982554783</v>
      </c>
      <c r="L43" s="103">
        <f>+K43/Tiempos!$B$11</f>
        <v>6.161061735337996E-3</v>
      </c>
      <c r="M43" s="262"/>
      <c r="N43" s="237"/>
      <c r="O43" s="237"/>
      <c r="P43" s="237"/>
      <c r="Q43" s="237"/>
    </row>
    <row r="44" spans="1:17" x14ac:dyDescent="0.35">
      <c r="A44" s="92"/>
      <c r="B44" s="92">
        <v>2</v>
      </c>
      <c r="C44" s="100">
        <v>1</v>
      </c>
      <c r="D44" s="100" t="s">
        <v>327</v>
      </c>
      <c r="E44" s="112" t="s">
        <v>222</v>
      </c>
      <c r="F44" s="92" t="s">
        <v>264</v>
      </c>
      <c r="G44" s="144">
        <f>VLOOKUP(F44,Volumenes!$D$20:$F$184,3,FALSE)</f>
        <v>111.55090948245817</v>
      </c>
      <c r="H44" s="102">
        <v>10</v>
      </c>
      <c r="I44" s="103">
        <f>VLOOKUP(F44,Tiempos!$D$42:$F$105,3,FALSE)</f>
        <v>8.5470085470085472E-2</v>
      </c>
      <c r="J44" s="111">
        <f>+I44*(1+Tiempos!$C$17)</f>
        <v>8.9957264957264957E-2</v>
      </c>
      <c r="K44" s="146">
        <f>+J44*G44</f>
        <v>10.034814720537369</v>
      </c>
      <c r="L44" s="103">
        <f>+K44/Tiempos!$B$11</f>
        <v>2.1814814609863845E-2</v>
      </c>
      <c r="M44" s="262">
        <f>+K44/Tiempos!$B$12</f>
        <v>1.0907407304931923E-2</v>
      </c>
      <c r="N44" s="237"/>
      <c r="O44" s="237"/>
      <c r="P44" s="237"/>
      <c r="Q44" s="237"/>
    </row>
    <row r="45" spans="1:17" x14ac:dyDescent="0.35">
      <c r="A45" s="81"/>
      <c r="B45" s="81">
        <v>2</v>
      </c>
      <c r="C45" s="83">
        <v>1</v>
      </c>
      <c r="D45" s="83" t="s">
        <v>327</v>
      </c>
      <c r="E45" s="113" t="s">
        <v>262</v>
      </c>
      <c r="F45" s="81" t="s">
        <v>264</v>
      </c>
      <c r="G45" s="143">
        <f>VLOOKUP(F45,Volumenes!$D$20:$F$222,3,FALSE)</f>
        <v>111.55090948245817</v>
      </c>
      <c r="H45" s="97"/>
      <c r="I45" s="98">
        <f>15/60</f>
        <v>0.25</v>
      </c>
      <c r="J45" s="110">
        <f>+I45*(1+Tiempos!$C$17)</f>
        <v>0.263125</v>
      </c>
      <c r="K45" s="123">
        <f>+J45*G45</f>
        <v>29.351833057571806</v>
      </c>
      <c r="L45" s="98">
        <f>+K45/Tiempos!$B$11</f>
        <v>6.3808332733851753E-2</v>
      </c>
      <c r="M45" s="261">
        <f>+K45/Tiempos!$B$12</f>
        <v>3.1904166366925876E-2</v>
      </c>
      <c r="N45" s="236"/>
      <c r="O45" s="236"/>
      <c r="P45" s="236"/>
      <c r="Q45" s="236"/>
    </row>
    <row r="46" spans="1:17" x14ac:dyDescent="0.35">
      <c r="A46" s="92"/>
      <c r="B46" s="92">
        <v>2</v>
      </c>
      <c r="C46" s="100">
        <v>1</v>
      </c>
      <c r="D46" s="100" t="s">
        <v>327</v>
      </c>
      <c r="E46" s="178" t="s">
        <v>59</v>
      </c>
      <c r="F46" s="92" t="str">
        <f>+F43</f>
        <v>CAMION</v>
      </c>
      <c r="G46" s="144">
        <f>VLOOKUP(F46,Volumenes!$D$20:$F$184,3,FALSE)</f>
        <v>11.891054030115146</v>
      </c>
      <c r="H46" s="155">
        <f>+Tiempos!E42</f>
        <v>20</v>
      </c>
      <c r="I46" s="103">
        <f>+Tiempos!F42</f>
        <v>0.22644927536231885</v>
      </c>
      <c r="J46" s="111">
        <f>+I46*(1+Tiempos!$C$17)</f>
        <v>0.23833786231884058</v>
      </c>
      <c r="K46" s="146">
        <f t="shared" si="0"/>
        <v>2.8340883982554783</v>
      </c>
      <c r="L46" s="103">
        <f>+K46/Tiempos!$B$11</f>
        <v>6.161061735337996E-3</v>
      </c>
      <c r="M46" s="262">
        <f>+K46/Tiempos!$B$12</f>
        <v>3.080530867668998E-3</v>
      </c>
      <c r="N46" s="234"/>
      <c r="O46" s="234"/>
      <c r="P46" s="234"/>
      <c r="Q46" s="234"/>
    </row>
    <row r="47" spans="1:17" x14ac:dyDescent="0.35">
      <c r="A47" s="92"/>
      <c r="B47" s="92">
        <v>2</v>
      </c>
      <c r="C47" s="100">
        <v>1</v>
      </c>
      <c r="D47" s="100" t="s">
        <v>69</v>
      </c>
      <c r="E47" s="178" t="s">
        <v>829</v>
      </c>
      <c r="F47" s="393" t="str">
        <f>+Volumenes!D217</f>
        <v>REC_TUB</v>
      </c>
      <c r="G47" s="144">
        <f>VLOOKUP(F47,Volumenes!D20:F296,3,FALSE)</f>
        <v>1</v>
      </c>
      <c r="H47" s="155">
        <f>VLOOKUP(F47,Tiempos!$D$42:$F$113,2,FALSE)*2</f>
        <v>300</v>
      </c>
      <c r="I47" s="103">
        <f>+Tiempos!F43</f>
        <v>0.17094017094017094</v>
      </c>
      <c r="J47" s="111">
        <f>+I47*(1+Tiempos!$C$17)</f>
        <v>0.17991452991452991</v>
      </c>
      <c r="K47" s="146">
        <f t="shared" ref="K47" si="1">+J47*G47</f>
        <v>0.17991452991452991</v>
      </c>
      <c r="L47" s="103">
        <f>+K47/Tiempos!$B$11</f>
        <v>3.9111854329245636E-4</v>
      </c>
      <c r="M47" s="262">
        <f>+K47/Tiempos!$B$12</f>
        <v>1.9555927164622818E-4</v>
      </c>
      <c r="N47" s="234"/>
      <c r="O47" s="234"/>
      <c r="P47" s="234"/>
      <c r="Q47" s="234"/>
    </row>
    <row r="48" spans="1:17" x14ac:dyDescent="0.35">
      <c r="A48" s="75"/>
      <c r="B48" s="75"/>
      <c r="E48" s="120"/>
      <c r="F48" s="75"/>
      <c r="G48" s="152"/>
      <c r="H48" s="177"/>
      <c r="I48" s="109"/>
      <c r="J48" s="107"/>
      <c r="K48" s="162"/>
      <c r="L48" s="308">
        <f>SUM(L9:L47)</f>
        <v>1.1118111202078678</v>
      </c>
      <c r="M48" s="308">
        <f>SUM(M9:M47)</f>
        <v>0.23580622382371566</v>
      </c>
      <c r="N48" s="45"/>
      <c r="O48" s="45"/>
      <c r="P48" s="45"/>
      <c r="Q48" s="45"/>
    </row>
    <row r="49" spans="1:17" x14ac:dyDescent="0.35">
      <c r="A49" s="75"/>
      <c r="B49" s="75"/>
      <c r="E49" s="120"/>
      <c r="F49" s="75"/>
      <c r="G49" s="152"/>
      <c r="H49" s="177"/>
      <c r="I49" s="109"/>
      <c r="J49" s="107"/>
      <c r="K49" s="162"/>
      <c r="L49" s="109"/>
      <c r="M49" s="45"/>
      <c r="N49" s="45"/>
      <c r="O49" s="45"/>
      <c r="P49" s="45"/>
      <c r="Q49" s="45"/>
    </row>
    <row r="50" spans="1:17" ht="13.15" x14ac:dyDescent="0.4">
      <c r="A50" s="179" t="s">
        <v>869</v>
      </c>
      <c r="B50" s="179"/>
      <c r="E50" s="120"/>
      <c r="F50" s="75"/>
      <c r="G50" s="152"/>
      <c r="H50" s="177"/>
      <c r="I50" s="109"/>
      <c r="J50" s="107"/>
      <c r="K50" s="162"/>
      <c r="L50" s="109"/>
      <c r="M50" s="45"/>
      <c r="N50" s="45"/>
      <c r="O50" s="45"/>
      <c r="P50" s="45"/>
      <c r="Q50" s="45"/>
    </row>
    <row r="51" spans="1:17" s="70" customFormat="1" x14ac:dyDescent="0.35">
      <c r="A51" s="81"/>
      <c r="B51" s="81">
        <v>2</v>
      </c>
      <c r="C51" s="83">
        <v>1</v>
      </c>
      <c r="D51" s="83" t="s">
        <v>46</v>
      </c>
      <c r="E51" s="113" t="s">
        <v>231</v>
      </c>
      <c r="F51" s="83" t="s">
        <v>204</v>
      </c>
      <c r="G51" s="180">
        <f>VLOOKUP(F51,Volumenes!$D$20:$F$222,3,FALSE)</f>
        <v>4</v>
      </c>
      <c r="H51" s="97"/>
      <c r="I51" s="123">
        <v>1</v>
      </c>
      <c r="J51" s="110">
        <f>+I51*(1+Tiempos!$C$17)</f>
        <v>1.0525</v>
      </c>
      <c r="K51" s="123">
        <f>+J51*G51</f>
        <v>4.21</v>
      </c>
      <c r="L51" s="98">
        <f>+K51/Tiempos!$B$11</f>
        <v>9.1521739130434789E-3</v>
      </c>
      <c r="M51" s="261"/>
      <c r="N51" s="233"/>
      <c r="O51" s="233"/>
      <c r="P51" s="233"/>
      <c r="Q51" s="233"/>
    </row>
    <row r="52" spans="1:17" s="70" customFormat="1" x14ac:dyDescent="0.35">
      <c r="A52" s="92"/>
      <c r="B52" s="92">
        <v>2</v>
      </c>
      <c r="C52" s="100">
        <v>1</v>
      </c>
      <c r="D52" s="100" t="s">
        <v>46</v>
      </c>
      <c r="E52" s="112" t="s">
        <v>48</v>
      </c>
      <c r="F52" s="100" t="s">
        <v>204</v>
      </c>
      <c r="G52" s="155">
        <f>VLOOKUP(F52,Volumenes!$D$20:$F$222,3,FALSE)</f>
        <v>4</v>
      </c>
      <c r="H52" s="155">
        <f>VLOOKUP(F52,Tiempos!$D$42:$F$113,2,FALSE)</f>
        <v>20</v>
      </c>
      <c r="I52" s="103">
        <f>VLOOKUP(F52,Tiempos!$D$42:$F$111,3,FALSE)</f>
        <v>0.22644927536231885</v>
      </c>
      <c r="J52" s="111">
        <f>+I52*(1+Tiempos!$C$17)</f>
        <v>0.23833786231884058</v>
      </c>
      <c r="K52" s="146">
        <f>+J52*G52</f>
        <v>0.95335144927536231</v>
      </c>
      <c r="L52" s="103">
        <f>+K52/Tiempos!B11</f>
        <v>2.0725031505986137E-3</v>
      </c>
      <c r="M52" s="262"/>
      <c r="N52" s="234"/>
      <c r="O52" s="234"/>
      <c r="P52" s="234"/>
      <c r="Q52" s="234"/>
    </row>
    <row r="53" spans="1:17" s="70" customFormat="1" x14ac:dyDescent="0.35">
      <c r="A53" s="81"/>
      <c r="B53" s="81">
        <v>2</v>
      </c>
      <c r="C53" s="83">
        <v>1</v>
      </c>
      <c r="D53" s="83" t="s">
        <v>327</v>
      </c>
      <c r="E53" s="113" t="s">
        <v>79</v>
      </c>
      <c r="F53" s="83" t="s">
        <v>244</v>
      </c>
      <c r="G53" s="143">
        <f>VLOOKUP(F53,Volumenes!$D$20:$F$222,3,FALSE)</f>
        <v>17.543128981305017</v>
      </c>
      <c r="H53" s="97"/>
      <c r="I53" s="98">
        <f>25/60</f>
        <v>0.41666666666666669</v>
      </c>
      <c r="J53" s="110">
        <f>+I53*(1+Tiempos!$C$17)</f>
        <v>0.43854166666666666</v>
      </c>
      <c r="K53" s="123">
        <f t="shared" ref="K53:K72" si="2">+J53*G53</f>
        <v>7.6933930220098041</v>
      </c>
      <c r="L53" s="98">
        <f>+K53/Tiempos!$B$11</f>
        <v>1.6724767439151748E-2</v>
      </c>
      <c r="M53" s="261">
        <f>+K53/Tiempos!$B$12</f>
        <v>8.3623837195758739E-3</v>
      </c>
      <c r="N53" s="236"/>
      <c r="O53" s="236"/>
      <c r="P53" s="236"/>
      <c r="Q53" s="236"/>
    </row>
    <row r="54" spans="1:17" s="70" customFormat="1" x14ac:dyDescent="0.35">
      <c r="A54" s="92"/>
      <c r="B54" s="92">
        <v>2</v>
      </c>
      <c r="C54" s="100">
        <v>1</v>
      </c>
      <c r="D54" s="100" t="s">
        <v>327</v>
      </c>
      <c r="E54" s="112" t="s">
        <v>80</v>
      </c>
      <c r="F54" s="100" t="s">
        <v>204</v>
      </c>
      <c r="G54" s="155">
        <f>VLOOKUP(F54,Volumenes!$D$20:$F$222,3,FALSE)</f>
        <v>4</v>
      </c>
      <c r="H54" s="155">
        <v>10</v>
      </c>
      <c r="I54" s="103">
        <f>+(H54/Tiempos!B29)/60</f>
        <v>8.5470085470085472E-2</v>
      </c>
      <c r="J54" s="111">
        <f>+I54*(1+Tiempos!$C$17)</f>
        <v>8.9957264957264957E-2</v>
      </c>
      <c r="K54" s="146">
        <f t="shared" si="2"/>
        <v>0.35982905982905983</v>
      </c>
      <c r="L54" s="103">
        <f>+K54/Tiempos!$B$11</f>
        <v>7.8223708658491271E-4</v>
      </c>
      <c r="M54" s="262">
        <f>+K54/Tiempos!$B$12</f>
        <v>3.9111854329245636E-4</v>
      </c>
      <c r="N54" s="237"/>
      <c r="O54" s="237"/>
      <c r="P54" s="237"/>
      <c r="Q54" s="237"/>
    </row>
    <row r="55" spans="1:17" s="70" customFormat="1" x14ac:dyDescent="0.35">
      <c r="A55" s="81"/>
      <c r="B55" s="81">
        <v>2</v>
      </c>
      <c r="C55" s="83">
        <v>1</v>
      </c>
      <c r="D55" s="83" t="s">
        <v>327</v>
      </c>
      <c r="E55" s="113" t="s">
        <v>81</v>
      </c>
      <c r="F55" s="83" t="s">
        <v>244</v>
      </c>
      <c r="G55" s="143">
        <f>VLOOKUP(F55,Volumenes!$D$20:$F$222,3,FALSE)</f>
        <v>17.543128981305017</v>
      </c>
      <c r="H55" s="97"/>
      <c r="I55" s="98">
        <f>15/60</f>
        <v>0.25</v>
      </c>
      <c r="J55" s="110">
        <f>+I55*(1+Tiempos!$C$17)</f>
        <v>0.263125</v>
      </c>
      <c r="K55" s="123">
        <f t="shared" si="2"/>
        <v>4.6160358132058823</v>
      </c>
      <c r="L55" s="98">
        <f>+K55/Tiempos!$B$11</f>
        <v>1.0034860463491049E-2</v>
      </c>
      <c r="M55" s="261">
        <f>+K55/Tiempos!$B$12</f>
        <v>5.0174302317455245E-3</v>
      </c>
      <c r="N55" s="236"/>
      <c r="O55" s="236"/>
      <c r="P55" s="236"/>
      <c r="Q55" s="236"/>
    </row>
    <row r="56" spans="1:17" s="70" customFormat="1" x14ac:dyDescent="0.35">
      <c r="A56" s="92"/>
      <c r="B56" s="92">
        <v>2</v>
      </c>
      <c r="C56" s="100">
        <v>1</v>
      </c>
      <c r="D56" s="100" t="s">
        <v>46</v>
      </c>
      <c r="E56" s="112" t="s">
        <v>52</v>
      </c>
      <c r="F56" s="100" t="s">
        <v>204</v>
      </c>
      <c r="G56" s="155">
        <f>VLOOKUP(F56,Volumenes!$D$20:$F$222,3,FALSE)</f>
        <v>4</v>
      </c>
      <c r="H56" s="155">
        <f>+Tiempos!E88</f>
        <v>40</v>
      </c>
      <c r="I56" s="103">
        <f>+Tiempos!F88</f>
        <v>0.45289855072463769</v>
      </c>
      <c r="J56" s="111">
        <f>+I56*(1+Tiempos!$C$17)</f>
        <v>0.47667572463768115</v>
      </c>
      <c r="K56" s="146">
        <f t="shared" si="2"/>
        <v>1.9067028985507246</v>
      </c>
      <c r="L56" s="103">
        <f>+K56/Tiempos!$B$11</f>
        <v>4.1450063011972274E-3</v>
      </c>
      <c r="M56" s="262"/>
      <c r="N56" s="237"/>
      <c r="O56" s="237"/>
      <c r="P56" s="237"/>
      <c r="Q56" s="237"/>
    </row>
    <row r="57" spans="1:17" s="70" customFormat="1" x14ac:dyDescent="0.35">
      <c r="A57" s="81"/>
      <c r="B57" s="81">
        <v>2</v>
      </c>
      <c r="C57" s="83">
        <v>1</v>
      </c>
      <c r="D57" s="83" t="s">
        <v>46</v>
      </c>
      <c r="E57" s="113" t="s">
        <v>232</v>
      </c>
      <c r="F57" s="81" t="s">
        <v>244</v>
      </c>
      <c r="G57" s="208">
        <v>0</v>
      </c>
      <c r="H57" s="97"/>
      <c r="I57" s="98">
        <f>8/60</f>
        <v>0.13333333333333333</v>
      </c>
      <c r="J57" s="110">
        <f>+I57*(1+Tiempos!$C$17)</f>
        <v>0.14033333333333334</v>
      </c>
      <c r="K57" s="123">
        <f t="shared" si="2"/>
        <v>0</v>
      </c>
      <c r="L57" s="98">
        <f>+K57/Tiempos!$B$11</f>
        <v>0</v>
      </c>
      <c r="M57" s="261"/>
      <c r="N57" s="236"/>
      <c r="O57" s="236"/>
      <c r="P57" s="236"/>
      <c r="Q57" s="236"/>
    </row>
    <row r="58" spans="1:17" s="70" customFormat="1" x14ac:dyDescent="0.35">
      <c r="A58" s="92"/>
      <c r="B58" s="92">
        <v>2</v>
      </c>
      <c r="C58" s="100">
        <v>1</v>
      </c>
      <c r="D58" s="100" t="s">
        <v>46</v>
      </c>
      <c r="E58" s="112" t="s">
        <v>235</v>
      </c>
      <c r="F58" s="92" t="s">
        <v>204</v>
      </c>
      <c r="G58" s="209">
        <v>0</v>
      </c>
      <c r="H58" s="102">
        <f>+Tiempos!E47</f>
        <v>20</v>
      </c>
      <c r="I58" s="103">
        <f>+(H58/Tiempos!B28/60)</f>
        <v>0.22644927536231885</v>
      </c>
      <c r="J58" s="111">
        <f>+I58*(1+Tiempos!$C$17)</f>
        <v>0.23833786231884058</v>
      </c>
      <c r="K58" s="146">
        <f t="shared" si="2"/>
        <v>0</v>
      </c>
      <c r="L58" s="103">
        <f>+K58/Tiempos!$B$11</f>
        <v>0</v>
      </c>
      <c r="M58" s="262"/>
      <c r="N58" s="237"/>
      <c r="O58" s="237"/>
      <c r="P58" s="237"/>
      <c r="Q58" s="237"/>
    </row>
    <row r="59" spans="1:17" s="70" customFormat="1" x14ac:dyDescent="0.35">
      <c r="A59" s="92"/>
      <c r="B59" s="92">
        <v>2</v>
      </c>
      <c r="C59" s="100">
        <v>1</v>
      </c>
      <c r="D59" s="100" t="s">
        <v>46</v>
      </c>
      <c r="E59" s="112" t="s">
        <v>54</v>
      </c>
      <c r="F59" s="92" t="s">
        <v>204</v>
      </c>
      <c r="G59" s="209">
        <v>0</v>
      </c>
      <c r="H59" s="155">
        <v>20</v>
      </c>
      <c r="I59" s="103">
        <f>+(H59/Tiempos!B28/60)</f>
        <v>0.22644927536231885</v>
      </c>
      <c r="J59" s="111">
        <f>+I59*(1+Tiempos!$C$17)</f>
        <v>0.23833786231884058</v>
      </c>
      <c r="K59" s="146">
        <f t="shared" si="2"/>
        <v>0</v>
      </c>
      <c r="L59" s="103">
        <f>+K59/Tiempos!$B$11</f>
        <v>0</v>
      </c>
      <c r="M59" s="262"/>
      <c r="N59" s="237"/>
      <c r="O59" s="237"/>
      <c r="P59" s="237"/>
      <c r="Q59" s="237"/>
    </row>
    <row r="60" spans="1:17" s="70" customFormat="1" x14ac:dyDescent="0.35">
      <c r="A60" s="81"/>
      <c r="B60" s="81">
        <v>2</v>
      </c>
      <c r="C60" s="83">
        <v>1</v>
      </c>
      <c r="D60" s="83" t="s">
        <v>46</v>
      </c>
      <c r="E60" s="113" t="s">
        <v>233</v>
      </c>
      <c r="F60" s="81" t="s">
        <v>204</v>
      </c>
      <c r="G60" s="208">
        <v>0</v>
      </c>
      <c r="H60" s="97"/>
      <c r="I60" s="98">
        <f>10/60</f>
        <v>0.16666666666666666</v>
      </c>
      <c r="J60" s="110">
        <f>+I60*(1+Tiempos!$C$17)</f>
        <v>0.17541666666666667</v>
      </c>
      <c r="K60" s="123">
        <f t="shared" si="2"/>
        <v>0</v>
      </c>
      <c r="L60" s="98">
        <f>+K60/Tiempos!$B$11</f>
        <v>0</v>
      </c>
      <c r="M60" s="261"/>
      <c r="N60" s="236"/>
      <c r="O60" s="236"/>
      <c r="P60" s="236"/>
      <c r="Q60" s="236"/>
    </row>
    <row r="61" spans="1:17" x14ac:dyDescent="0.35">
      <c r="A61" s="81"/>
      <c r="B61" s="81">
        <v>2</v>
      </c>
      <c r="C61" s="83">
        <v>1</v>
      </c>
      <c r="D61" s="83" t="s">
        <v>46</v>
      </c>
      <c r="E61" s="113" t="s">
        <v>1085</v>
      </c>
      <c r="F61" s="81" t="s">
        <v>244</v>
      </c>
      <c r="G61" s="143">
        <f>VLOOKUP(F61,Volumenes!$D$20:$F$222,3,FALSE)</f>
        <v>17.543128981305017</v>
      </c>
      <c r="H61" s="97"/>
      <c r="I61" s="98">
        <f>5/60</f>
        <v>8.3333333333333329E-2</v>
      </c>
      <c r="J61" s="110">
        <f>+I61*(1+Tiempos!$C$17)</f>
        <v>8.7708333333333333E-2</v>
      </c>
      <c r="K61" s="123">
        <f t="shared" si="2"/>
        <v>1.5386786044019609</v>
      </c>
      <c r="L61" s="98">
        <f>+K61/Tiempos!$B$11</f>
        <v>3.3449534878303498E-3</v>
      </c>
      <c r="M61" s="261"/>
      <c r="N61" s="236"/>
      <c r="O61" s="236"/>
      <c r="P61" s="236"/>
      <c r="Q61" s="236"/>
    </row>
    <row r="62" spans="1:17" x14ac:dyDescent="0.35">
      <c r="A62" s="92"/>
      <c r="B62" s="92">
        <v>2</v>
      </c>
      <c r="C62" s="100">
        <v>1</v>
      </c>
      <c r="D62" s="100" t="s">
        <v>46</v>
      </c>
      <c r="E62" s="112" t="s">
        <v>53</v>
      </c>
      <c r="F62" s="92" t="s">
        <v>204</v>
      </c>
      <c r="G62" s="144">
        <f>VLOOKUP(F62,Volumenes!$D$20:$F$222,3,FALSE)</f>
        <v>4</v>
      </c>
      <c r="H62" s="102">
        <f>+H58</f>
        <v>20</v>
      </c>
      <c r="I62" s="103">
        <f>+I58</f>
        <v>0.22644927536231885</v>
      </c>
      <c r="J62" s="111">
        <f>+I62*(1+Tiempos!$C$17)</f>
        <v>0.23833786231884058</v>
      </c>
      <c r="K62" s="146">
        <f t="shared" si="2"/>
        <v>0.95335144927536231</v>
      </c>
      <c r="L62" s="103">
        <f>+K62/Tiempos!$B$11</f>
        <v>2.0725031505986137E-3</v>
      </c>
      <c r="M62" s="262"/>
      <c r="N62" s="237"/>
      <c r="O62" s="237"/>
      <c r="P62" s="237"/>
      <c r="Q62" s="237"/>
    </row>
    <row r="63" spans="1:17" x14ac:dyDescent="0.35">
      <c r="A63" s="81"/>
      <c r="B63" s="81">
        <v>2</v>
      </c>
      <c r="C63" s="83">
        <v>1</v>
      </c>
      <c r="D63" s="83" t="s">
        <v>46</v>
      </c>
      <c r="E63" s="114" t="s">
        <v>236</v>
      </c>
      <c r="F63" s="81" t="s">
        <v>246</v>
      </c>
      <c r="G63" s="143">
        <f>VLOOKUP(F63,Volumenes!$D$20:$F$222,3,FALSE)</f>
        <v>0.52629386943915057</v>
      </c>
      <c r="H63" s="97"/>
      <c r="I63" s="98">
        <f>30/60</f>
        <v>0.5</v>
      </c>
      <c r="J63" s="110">
        <f>+I63*(1+Tiempos!$C$17)</f>
        <v>0.52625</v>
      </c>
      <c r="K63" s="123">
        <f t="shared" si="2"/>
        <v>0.27696214879235298</v>
      </c>
      <c r="L63" s="98">
        <f>+K63/Tiempos!$B$11</f>
        <v>6.0209162780946296E-4</v>
      </c>
      <c r="M63" s="261"/>
      <c r="N63" s="236"/>
      <c r="O63" s="236"/>
      <c r="P63" s="236"/>
      <c r="Q63" s="236"/>
    </row>
    <row r="64" spans="1:17" x14ac:dyDescent="0.35">
      <c r="A64" s="92"/>
      <c r="B64" s="92">
        <v>2</v>
      </c>
      <c r="C64" s="100">
        <v>1</v>
      </c>
      <c r="D64" s="100" t="s">
        <v>46</v>
      </c>
      <c r="E64" s="112" t="s">
        <v>55</v>
      </c>
      <c r="F64" s="92" t="s">
        <v>204</v>
      </c>
      <c r="G64" s="144">
        <f>VLOOKUP(F64,Volumenes!$D$20:$F$222,3,FALSE)</f>
        <v>4</v>
      </c>
      <c r="H64" s="155">
        <f>+Tiempos!E88</f>
        <v>40</v>
      </c>
      <c r="I64" s="103">
        <f>+(H64/Tiempos!B28/60)</f>
        <v>0.45289855072463769</v>
      </c>
      <c r="J64" s="111">
        <f>+I64*(1+Tiempos!$C$17)</f>
        <v>0.47667572463768115</v>
      </c>
      <c r="K64" s="146">
        <f t="shared" si="2"/>
        <v>1.9067028985507246</v>
      </c>
      <c r="L64" s="103">
        <f>+K64/Tiempos!$B$11</f>
        <v>4.1450063011972274E-3</v>
      </c>
      <c r="M64" s="262"/>
      <c r="N64" s="237"/>
      <c r="O64" s="237"/>
      <c r="P64" s="237"/>
      <c r="Q64" s="237"/>
    </row>
    <row r="65" spans="1:17" x14ac:dyDescent="0.35">
      <c r="A65" s="81"/>
      <c r="B65" s="81">
        <v>2</v>
      </c>
      <c r="C65" s="83">
        <v>1</v>
      </c>
      <c r="D65" s="83" t="s">
        <v>46</v>
      </c>
      <c r="E65" s="113" t="s">
        <v>237</v>
      </c>
      <c r="F65" s="81" t="s">
        <v>204</v>
      </c>
      <c r="G65" s="180">
        <f>VLOOKUP(F65,Volumenes!$D$20:$F$222,3,FALSE)</f>
        <v>4</v>
      </c>
      <c r="H65" s="97"/>
      <c r="I65" s="98">
        <f>60/60</f>
        <v>1</v>
      </c>
      <c r="J65" s="110">
        <f>+I65*(1+Tiempos!$C$17)</f>
        <v>1.0525</v>
      </c>
      <c r="K65" s="123">
        <f t="shared" si="2"/>
        <v>4.21</v>
      </c>
      <c r="L65" s="98">
        <f>+K65/Tiempos!$B$11</f>
        <v>9.1521739130434789E-3</v>
      </c>
      <c r="M65" s="261"/>
      <c r="N65" s="236"/>
      <c r="O65" s="236"/>
      <c r="P65" s="236"/>
      <c r="Q65" s="236"/>
    </row>
    <row r="66" spans="1:17" x14ac:dyDescent="0.35">
      <c r="A66" s="81"/>
      <c r="B66" s="81">
        <v>2</v>
      </c>
      <c r="C66" s="83">
        <v>1</v>
      </c>
      <c r="D66" s="83" t="s">
        <v>46</v>
      </c>
      <c r="E66" s="113" t="s">
        <v>56</v>
      </c>
      <c r="F66" s="81" t="s">
        <v>204</v>
      </c>
      <c r="G66" s="180">
        <f>VLOOKUP(F66,Volumenes!$D$20:$F$222,3,FALSE)</f>
        <v>4</v>
      </c>
      <c r="H66" s="97"/>
      <c r="I66" s="98">
        <f>120/60</f>
        <v>2</v>
      </c>
      <c r="J66" s="110">
        <f>+I66*(1+Tiempos!$C$17)</f>
        <v>2.105</v>
      </c>
      <c r="K66" s="123">
        <f t="shared" si="2"/>
        <v>8.42</v>
      </c>
      <c r="L66" s="98">
        <f>+K66/Tiempos!$B$11</f>
        <v>1.8304347826086958E-2</v>
      </c>
      <c r="M66" s="261"/>
      <c r="N66" s="236"/>
      <c r="O66" s="236"/>
      <c r="P66" s="236"/>
      <c r="Q66" s="236"/>
    </row>
    <row r="67" spans="1:17" x14ac:dyDescent="0.35">
      <c r="A67" s="92"/>
      <c r="B67" s="92">
        <v>2</v>
      </c>
      <c r="C67" s="100">
        <v>1</v>
      </c>
      <c r="D67" s="100" t="s">
        <v>46</v>
      </c>
      <c r="E67" s="112" t="s">
        <v>57</v>
      </c>
      <c r="F67" s="92" t="s">
        <v>204</v>
      </c>
      <c r="G67" s="144">
        <f>VLOOKUP(F67,Volumenes!$D$20:$F$222,3,FALSE)</f>
        <v>4</v>
      </c>
      <c r="H67" s="155">
        <f>+H64</f>
        <v>40</v>
      </c>
      <c r="I67" s="103">
        <f>+(H67/Tiempos!$B$28/60)</f>
        <v>0.45289855072463769</v>
      </c>
      <c r="J67" s="111">
        <f>+I67*(1+Tiempos!$C$17)</f>
        <v>0.47667572463768115</v>
      </c>
      <c r="K67" s="146">
        <f t="shared" si="2"/>
        <v>1.9067028985507246</v>
      </c>
      <c r="L67" s="103">
        <f>+K67/Tiempos!$B$11</f>
        <v>4.1450063011972274E-3</v>
      </c>
      <c r="M67" s="262"/>
      <c r="N67" s="237"/>
      <c r="O67" s="237"/>
      <c r="P67" s="237"/>
      <c r="Q67" s="237"/>
    </row>
    <row r="68" spans="1:17" x14ac:dyDescent="0.35">
      <c r="A68" s="81"/>
      <c r="B68" s="81">
        <v>2</v>
      </c>
      <c r="C68" s="83">
        <v>1</v>
      </c>
      <c r="D68" s="83" t="s">
        <v>46</v>
      </c>
      <c r="E68" s="113" t="s">
        <v>240</v>
      </c>
      <c r="F68" s="81" t="s">
        <v>265</v>
      </c>
      <c r="G68" s="143">
        <f>VLOOKUP(F68,Volumenes!$D$20:$F$222,3,FALSE)</f>
        <v>52.629386943915058</v>
      </c>
      <c r="H68" s="97"/>
      <c r="I68" s="98">
        <f>5/60</f>
        <v>8.3333333333333329E-2</v>
      </c>
      <c r="J68" s="110">
        <f>+I68*(1+Tiempos!$C$17)</f>
        <v>8.7708333333333333E-2</v>
      </c>
      <c r="K68" s="123">
        <f t="shared" si="2"/>
        <v>4.6160358132058832</v>
      </c>
      <c r="L68" s="98">
        <f>+K68/Tiempos!$B$11</f>
        <v>1.0034860463491051E-2</v>
      </c>
      <c r="M68" s="261"/>
      <c r="N68" s="236"/>
      <c r="O68" s="236"/>
      <c r="P68" s="236"/>
      <c r="Q68" s="236"/>
    </row>
    <row r="69" spans="1:17" x14ac:dyDescent="0.35">
      <c r="A69" s="92"/>
      <c r="B69" s="92">
        <v>2</v>
      </c>
      <c r="C69" s="100">
        <v>1</v>
      </c>
      <c r="D69" s="100" t="s">
        <v>327</v>
      </c>
      <c r="E69" s="112" t="s">
        <v>58</v>
      </c>
      <c r="F69" s="92" t="s">
        <v>204</v>
      </c>
      <c r="G69" s="144">
        <f>VLOOKUP(F69,Volumenes!$D$20:$F$222,3,FALSE)</f>
        <v>4</v>
      </c>
      <c r="H69" s="102">
        <f>+H58</f>
        <v>20</v>
      </c>
      <c r="I69" s="103">
        <f>+(H69/Tiempos!$B$28/60)</f>
        <v>0.22644927536231885</v>
      </c>
      <c r="J69" s="111">
        <f>+I69*(1+Tiempos!$C$17)</f>
        <v>0.23833786231884058</v>
      </c>
      <c r="K69" s="146">
        <f t="shared" si="2"/>
        <v>0.95335144927536231</v>
      </c>
      <c r="L69" s="103">
        <f>+K69/Tiempos!$B$11</f>
        <v>2.0725031505986137E-3</v>
      </c>
      <c r="M69" s="262"/>
      <c r="N69" s="237"/>
      <c r="O69" s="237"/>
      <c r="P69" s="237"/>
      <c r="Q69" s="237"/>
    </row>
    <row r="70" spans="1:17" x14ac:dyDescent="0.35">
      <c r="A70" s="92"/>
      <c r="B70" s="92">
        <v>2</v>
      </c>
      <c r="C70" s="100">
        <v>1</v>
      </c>
      <c r="D70" s="100" t="s">
        <v>327</v>
      </c>
      <c r="E70" s="112" t="s">
        <v>247</v>
      </c>
      <c r="F70" s="92" t="s">
        <v>265</v>
      </c>
      <c r="G70" s="144">
        <f>VLOOKUP(F70,Volumenes!$D$20:$F$184,3,FALSE)</f>
        <v>52.629386943915058</v>
      </c>
      <c r="H70" s="102">
        <v>10</v>
      </c>
      <c r="I70" s="103">
        <f>+(H70/Tiempos!$B$28/60)</f>
        <v>0.11322463768115942</v>
      </c>
      <c r="J70" s="111">
        <f>+I70*(1+Tiempos!$C$17)</f>
        <v>0.11916893115942029</v>
      </c>
      <c r="K70" s="146">
        <f t="shared" si="2"/>
        <v>6.2717877896819063</v>
      </c>
      <c r="L70" s="103">
        <f>+K70/Tiempos!$B$11</f>
        <v>1.3634321281917187E-2</v>
      </c>
      <c r="M70" s="262">
        <f>+K70/Tiempos!$B$12</f>
        <v>6.8171606409585936E-3</v>
      </c>
      <c r="N70" s="237"/>
      <c r="O70" s="237"/>
      <c r="P70" s="237"/>
      <c r="Q70" s="237"/>
    </row>
    <row r="71" spans="1:17" x14ac:dyDescent="0.35">
      <c r="A71" s="81"/>
      <c r="B71" s="81">
        <v>2</v>
      </c>
      <c r="C71" s="83">
        <v>1</v>
      </c>
      <c r="D71" s="83" t="s">
        <v>327</v>
      </c>
      <c r="E71" s="113" t="s">
        <v>262</v>
      </c>
      <c r="F71" s="81" t="s">
        <v>265</v>
      </c>
      <c r="G71" s="143">
        <f>VLOOKUP(F71,Volumenes!$D$20:$F$222,3,FALSE)</f>
        <v>52.629386943915058</v>
      </c>
      <c r="H71" s="97"/>
      <c r="I71" s="98">
        <f>15/60</f>
        <v>0.25</v>
      </c>
      <c r="J71" s="110">
        <f>+I71*(1+Tiempos!$C$17)</f>
        <v>0.263125</v>
      </c>
      <c r="K71" s="123">
        <f>+J71*G71</f>
        <v>13.84810743961765</v>
      </c>
      <c r="L71" s="98">
        <f>+K71/Tiempos!$B$11</f>
        <v>3.0104581390473152E-2</v>
      </c>
      <c r="M71" s="261">
        <f>+K71/Tiempos!$B$12</f>
        <v>1.5052290695236576E-2</v>
      </c>
      <c r="N71" s="233"/>
      <c r="O71" s="233"/>
      <c r="P71" s="233"/>
      <c r="Q71" s="233"/>
    </row>
    <row r="72" spans="1:17" x14ac:dyDescent="0.35">
      <c r="A72" s="92"/>
      <c r="B72" s="92">
        <v>2</v>
      </c>
      <c r="C72" s="100">
        <v>1</v>
      </c>
      <c r="D72" s="100" t="s">
        <v>327</v>
      </c>
      <c r="E72" s="178" t="s">
        <v>59</v>
      </c>
      <c r="F72" s="92" t="s">
        <v>204</v>
      </c>
      <c r="G72" s="144">
        <f>VLOOKUP(F72,Volumenes!$D$20:$F$222,3,FALSE)</f>
        <v>4</v>
      </c>
      <c r="H72" s="155">
        <f>+Tiempos!E88</f>
        <v>40</v>
      </c>
      <c r="I72" s="103">
        <f>+(H72/Tiempos!$B$28/60)</f>
        <v>0.45289855072463769</v>
      </c>
      <c r="J72" s="111">
        <f>+I72*(1+Tiempos!$C$17)</f>
        <v>0.47667572463768115</v>
      </c>
      <c r="K72" s="146">
        <f t="shared" si="2"/>
        <v>1.9067028985507246</v>
      </c>
      <c r="L72" s="103">
        <f>+K72/Tiempos!$B$11</f>
        <v>4.1450063011972274E-3</v>
      </c>
      <c r="M72" s="262">
        <f>+K72/Tiempos!$B$12</f>
        <v>2.0725031505986137E-3</v>
      </c>
      <c r="N72" s="234"/>
      <c r="O72" s="234"/>
      <c r="P72" s="234"/>
      <c r="Q72" s="234"/>
    </row>
    <row r="73" spans="1:17" x14ac:dyDescent="0.35">
      <c r="A73" s="75"/>
      <c r="B73" s="75"/>
      <c r="E73" s="120"/>
      <c r="F73" s="75"/>
      <c r="G73" s="152"/>
      <c r="H73" s="177"/>
      <c r="I73" s="109"/>
      <c r="J73" s="107"/>
      <c r="K73" s="162"/>
      <c r="L73" s="98">
        <f>SUM(L51:L72)</f>
        <v>0.14466890354950759</v>
      </c>
      <c r="M73" s="98">
        <f>SUM(M51:M72)</f>
        <v>3.7712886981407644E-2</v>
      </c>
      <c r="N73" s="45"/>
      <c r="O73" s="45"/>
      <c r="P73" s="45"/>
      <c r="Q73" s="45"/>
    </row>
    <row r="75" spans="1:17" ht="13.15" x14ac:dyDescent="0.4">
      <c r="A75" s="296" t="s">
        <v>961</v>
      </c>
      <c r="B75" s="179"/>
      <c r="E75" s="120"/>
      <c r="F75" s="75"/>
      <c r="G75" s="152"/>
      <c r="H75" s="177"/>
      <c r="I75" s="109"/>
      <c r="J75" s="107"/>
      <c r="K75" s="162"/>
      <c r="L75" s="109"/>
      <c r="M75" s="45"/>
      <c r="N75" s="45"/>
      <c r="O75" s="45"/>
      <c r="P75" s="45"/>
      <c r="Q75" s="45"/>
    </row>
    <row r="76" spans="1:17" s="70" customFormat="1" x14ac:dyDescent="0.35">
      <c r="A76" s="81"/>
      <c r="B76" s="81">
        <v>2</v>
      </c>
      <c r="C76" s="83">
        <v>1</v>
      </c>
      <c r="D76" s="83" t="s">
        <v>46</v>
      </c>
      <c r="E76" s="113" t="s">
        <v>963</v>
      </c>
      <c r="F76" s="478" t="str">
        <f>+Volumenes!D226</f>
        <v>KAT_CAM</v>
      </c>
      <c r="G76" s="180">
        <f>VLOOKUP(F76,Volumenes!$D$20:$F$292,3,FALSE)</f>
        <v>1</v>
      </c>
      <c r="H76" s="97"/>
      <c r="I76" s="123">
        <f>30/60</f>
        <v>0.5</v>
      </c>
      <c r="J76" s="110">
        <f>+I76*(1+Tiempos!$C$17)</f>
        <v>0.52625</v>
      </c>
      <c r="K76" s="123">
        <f>+J76*G76</f>
        <v>0.52625</v>
      </c>
      <c r="L76" s="98">
        <f>+K76/Tiempos!$B$11</f>
        <v>1.1440217391304349E-3</v>
      </c>
      <c r="M76" s="261">
        <f>+L76/Tiempos!$B$12</f>
        <v>1.2435018903591683E-6</v>
      </c>
      <c r="N76" s="233"/>
      <c r="O76" s="233"/>
      <c r="P76" s="233"/>
      <c r="Q76" s="233"/>
    </row>
    <row r="77" spans="1:17" s="70" customFormat="1" x14ac:dyDescent="0.35">
      <c r="A77" s="81"/>
      <c r="B77" s="81">
        <v>2</v>
      </c>
      <c r="C77" s="83">
        <v>1</v>
      </c>
      <c r="D77" s="83" t="s">
        <v>46</v>
      </c>
      <c r="E77" s="113" t="s">
        <v>978</v>
      </c>
      <c r="F77" s="478" t="str">
        <f>+Volumenes!D226</f>
        <v>KAT_CAM</v>
      </c>
      <c r="G77" s="180">
        <f>VLOOKUP(F77,Volumenes!$D$20:$F$292,3,FALSE)</f>
        <v>1</v>
      </c>
      <c r="H77" s="97"/>
      <c r="I77" s="123">
        <v>10</v>
      </c>
      <c r="J77" s="110">
        <f>+I77*(1+Tiempos!$C$17)</f>
        <v>10.525</v>
      </c>
      <c r="K77" s="123">
        <f>+J77*G77</f>
        <v>10.525</v>
      </c>
      <c r="L77" s="98">
        <f>+K77/Tiempos!$B$11</f>
        <v>2.2880434782608695E-2</v>
      </c>
      <c r="M77" s="261">
        <f>+L77/Tiempos!$B$12</f>
        <v>2.4870037807183363E-5</v>
      </c>
      <c r="N77" s="233"/>
      <c r="O77" s="233"/>
      <c r="P77" s="233"/>
      <c r="Q77" s="233"/>
    </row>
    <row r="78" spans="1:17" s="70" customFormat="1" x14ac:dyDescent="0.35">
      <c r="A78" s="92"/>
      <c r="B78" s="92">
        <v>2</v>
      </c>
      <c r="C78" s="100">
        <v>1</v>
      </c>
      <c r="D78" s="100" t="s">
        <v>46</v>
      </c>
      <c r="E78" s="112" t="s">
        <v>973</v>
      </c>
      <c r="F78" s="477" t="str">
        <f>+F77</f>
        <v>KAT_CAM</v>
      </c>
      <c r="G78" s="155">
        <f>VLOOKUP(F78,Volumenes!$D$20:$F$292,3,FALSE)</f>
        <v>1</v>
      </c>
      <c r="H78" s="155">
        <v>10</v>
      </c>
      <c r="I78" s="103">
        <f>(H78/Tiempos!$B$29)/60</f>
        <v>8.5470085470085472E-2</v>
      </c>
      <c r="J78" s="111">
        <f>+I78*(1+Tiempos!$C$17)</f>
        <v>8.9957264957264957E-2</v>
      </c>
      <c r="K78" s="146">
        <f>+J78*G78</f>
        <v>8.9957264957264957E-2</v>
      </c>
      <c r="L78" s="103">
        <f>+K78/Tiempos!$B$11</f>
        <v>1.9555927164622818E-4</v>
      </c>
      <c r="M78" s="262">
        <f>+L78/Tiempos!$B$12</f>
        <v>2.1256442570242193E-7</v>
      </c>
      <c r="N78" s="234"/>
      <c r="O78" s="234"/>
      <c r="P78" s="234"/>
      <c r="Q78" s="234"/>
    </row>
    <row r="79" spans="1:17" s="70" customFormat="1" x14ac:dyDescent="0.35">
      <c r="A79" s="81"/>
      <c r="B79" s="81">
        <v>2</v>
      </c>
      <c r="C79" s="83">
        <v>1</v>
      </c>
      <c r="D79" s="83" t="s">
        <v>327</v>
      </c>
      <c r="E79" s="113" t="s">
        <v>182</v>
      </c>
      <c r="F79" s="478" t="str">
        <f>+F78</f>
        <v>KAT_CAM</v>
      </c>
      <c r="G79" s="180">
        <f>VLOOKUP(F79,Volumenes!$D$20:$F$292,3,FALSE)</f>
        <v>1</v>
      </c>
      <c r="H79" s="97"/>
      <c r="I79" s="98">
        <f>25/60</f>
        <v>0.41666666666666669</v>
      </c>
      <c r="J79" s="110">
        <f>+I79*(1+Tiempos!$C$17)</f>
        <v>0.43854166666666666</v>
      </c>
      <c r="K79" s="123">
        <f t="shared" ref="K79:K81" si="3">+J79*G79</f>
        <v>0.43854166666666666</v>
      </c>
      <c r="L79" s="98">
        <f>+K79/Tiempos!$B$11</f>
        <v>9.5335144927536232E-4</v>
      </c>
      <c r="M79" s="261">
        <f>+L79/Tiempos!$B$12</f>
        <v>1.0362515752993068E-6</v>
      </c>
      <c r="N79" s="236"/>
      <c r="O79" s="236"/>
      <c r="P79" s="236"/>
      <c r="Q79" s="236"/>
    </row>
    <row r="80" spans="1:17" s="70" customFormat="1" x14ac:dyDescent="0.35">
      <c r="A80" s="92"/>
      <c r="B80" s="92">
        <v>2</v>
      </c>
      <c r="C80" s="100">
        <v>1</v>
      </c>
      <c r="D80" s="100" t="s">
        <v>327</v>
      </c>
      <c r="E80" s="112" t="s">
        <v>979</v>
      </c>
      <c r="F80" s="477" t="str">
        <f>+Volumenes!D225</f>
        <v>KAT_PUER</v>
      </c>
      <c r="G80" s="155">
        <f>VLOOKUP(F80,Volumenes!$D$20:$F$292,3,FALSE)</f>
        <v>4</v>
      </c>
      <c r="H80" s="155">
        <v>30</v>
      </c>
      <c r="I80" s="103">
        <f>(H80/Tiempos!$B$29)/60</f>
        <v>0.25641025641025644</v>
      </c>
      <c r="J80" s="111">
        <f>+I80*(1+Tiempos!$C$17)</f>
        <v>0.26987179487179491</v>
      </c>
      <c r="K80" s="146">
        <f t="shared" si="3"/>
        <v>1.0794871794871796</v>
      </c>
      <c r="L80" s="103">
        <f>+K80/Tiempos!$B$11</f>
        <v>2.3467112597547386E-3</v>
      </c>
      <c r="M80" s="262">
        <f>+L80/Tiempos!$B$12</f>
        <v>2.5507731084290638E-6</v>
      </c>
      <c r="N80" s="237"/>
      <c r="O80" s="237"/>
      <c r="P80" s="237"/>
      <c r="Q80" s="237"/>
    </row>
    <row r="81" spans="1:17" s="70" customFormat="1" x14ac:dyDescent="0.35">
      <c r="A81" s="81"/>
      <c r="B81" s="81">
        <v>2</v>
      </c>
      <c r="C81" s="83">
        <v>1</v>
      </c>
      <c r="D81" s="83" t="s">
        <v>327</v>
      </c>
      <c r="E81" s="113" t="s">
        <v>980</v>
      </c>
      <c r="F81" s="478" t="str">
        <f>+F80</f>
        <v>KAT_PUER</v>
      </c>
      <c r="G81" s="180">
        <f>VLOOKUP(F81,Volumenes!$D$20:$F$292,3,FALSE)</f>
        <v>4</v>
      </c>
      <c r="H81" s="97"/>
      <c r="I81" s="98">
        <f>15/60</f>
        <v>0.25</v>
      </c>
      <c r="J81" s="110">
        <f>+I81*(1+Tiempos!$C$17)</f>
        <v>0.263125</v>
      </c>
      <c r="K81" s="123">
        <f t="shared" si="3"/>
        <v>1.0525</v>
      </c>
      <c r="L81" s="98">
        <f>+K81/Tiempos!$B$11</f>
        <v>2.2880434782608697E-3</v>
      </c>
      <c r="M81" s="261">
        <f>+L81/Tiempos!$B$12</f>
        <v>2.4870037807183367E-6</v>
      </c>
      <c r="N81" s="236"/>
      <c r="O81" s="236"/>
      <c r="P81" s="236"/>
      <c r="Q81" s="236"/>
    </row>
    <row r="82" spans="1:17" s="70" customFormat="1" x14ac:dyDescent="0.35">
      <c r="A82" s="92"/>
      <c r="B82" s="92">
        <v>2</v>
      </c>
      <c r="C82" s="100">
        <v>1</v>
      </c>
      <c r="D82" s="100" t="s">
        <v>46</v>
      </c>
      <c r="E82" s="112" t="s">
        <v>975</v>
      </c>
      <c r="F82" s="477" t="str">
        <f>+F81</f>
        <v>KAT_PUER</v>
      </c>
      <c r="G82" s="155">
        <f>VLOOKUP(F82,Volumenes!$D$20:$F$292,3,FALSE)</f>
        <v>4</v>
      </c>
      <c r="H82" s="155">
        <v>80</v>
      </c>
      <c r="I82" s="103">
        <f>(H82/Tiempos!$B$29)/60</f>
        <v>0.68376068376068377</v>
      </c>
      <c r="J82" s="111">
        <f>+I82*(1+Tiempos!$C$17)</f>
        <v>0.71965811965811965</v>
      </c>
      <c r="K82" s="146">
        <f t="shared" ref="K82:K84" si="4">+J82*G82</f>
        <v>2.8786324786324786</v>
      </c>
      <c r="L82" s="103">
        <f>+K82/Tiempos!$B$11</f>
        <v>6.2578966926793017E-3</v>
      </c>
      <c r="M82" s="262">
        <f>+L82/Tiempos!$B$12</f>
        <v>6.8020616224775017E-6</v>
      </c>
      <c r="N82" s="237"/>
      <c r="O82" s="237"/>
      <c r="P82" s="237"/>
      <c r="Q82" s="237"/>
    </row>
    <row r="83" spans="1:17" s="70" customFormat="1" x14ac:dyDescent="0.35">
      <c r="A83" s="81"/>
      <c r="B83" s="81">
        <v>2</v>
      </c>
      <c r="C83" s="83">
        <v>1</v>
      </c>
      <c r="D83" s="83" t="s">
        <v>46</v>
      </c>
      <c r="E83" s="113" t="s">
        <v>981</v>
      </c>
      <c r="F83" s="391" t="str">
        <f>+F82</f>
        <v>KAT_PUER</v>
      </c>
      <c r="G83" s="180">
        <f>VLOOKUP(F83,Volumenes!$D$20:$F$292,3,FALSE)</f>
        <v>4</v>
      </c>
      <c r="H83" s="97"/>
      <c r="I83" s="98">
        <f>25/60</f>
        <v>0.41666666666666669</v>
      </c>
      <c r="J83" s="110">
        <f>+I83*(1+Tiempos!$C$17)</f>
        <v>0.43854166666666666</v>
      </c>
      <c r="K83" s="123">
        <f t="shared" si="4"/>
        <v>1.7541666666666667</v>
      </c>
      <c r="L83" s="98">
        <f>+K83/Tiempos!$B$11</f>
        <v>3.8134057971014493E-3</v>
      </c>
      <c r="M83" s="261">
        <f>+L83/Tiempos!$B$12</f>
        <v>4.1450063011972274E-6</v>
      </c>
      <c r="N83" s="236"/>
      <c r="O83" s="236"/>
      <c r="P83" s="236"/>
      <c r="Q83" s="236"/>
    </row>
    <row r="84" spans="1:17" s="70" customFormat="1" x14ac:dyDescent="0.35">
      <c r="A84" s="81"/>
      <c r="B84" s="81">
        <v>2</v>
      </c>
      <c r="C84" s="83">
        <v>1</v>
      </c>
      <c r="D84" s="83" t="s">
        <v>46</v>
      </c>
      <c r="E84" s="113" t="s">
        <v>982</v>
      </c>
      <c r="F84" s="391" t="str">
        <f>+F79</f>
        <v>KAT_CAM</v>
      </c>
      <c r="G84" s="180">
        <f>VLOOKUP(F84,Volumenes!$D$20:$F$292,3,FALSE)</f>
        <v>1</v>
      </c>
      <c r="H84" s="97"/>
      <c r="I84" s="98">
        <f>10/60</f>
        <v>0.16666666666666666</v>
      </c>
      <c r="J84" s="110">
        <f>+I84*(1+Tiempos!$C$17)</f>
        <v>0.17541666666666667</v>
      </c>
      <c r="K84" s="123">
        <f t="shared" si="4"/>
        <v>0.17541666666666667</v>
      </c>
      <c r="L84" s="98">
        <f>+K84/Tiempos!$B$11</f>
        <v>3.8134057971014494E-4</v>
      </c>
      <c r="M84" s="261">
        <f>+L84/Tiempos!$B$12</f>
        <v>4.1450063011972278E-7</v>
      </c>
      <c r="N84" s="236"/>
      <c r="O84" s="236"/>
      <c r="P84" s="236"/>
      <c r="Q84" s="236"/>
    </row>
    <row r="85" spans="1:17" x14ac:dyDescent="0.35">
      <c r="A85" s="75"/>
      <c r="B85" s="75"/>
      <c r="E85" s="120"/>
      <c r="F85" s="75"/>
      <c r="G85" s="152"/>
      <c r="H85" s="177"/>
      <c r="I85" s="109"/>
      <c r="J85" s="107"/>
      <c r="K85" s="162"/>
      <c r="L85" s="98">
        <f>SUM(L76:L84)</f>
        <v>4.0260765050167215E-2</v>
      </c>
      <c r="M85" s="98">
        <f>SUM(M76:M84)</f>
        <v>4.3761701141486114E-5</v>
      </c>
      <c r="N85" s="233"/>
      <c r="O85" s="233"/>
      <c r="P85" s="233"/>
      <c r="Q85" s="233"/>
    </row>
    <row r="87" spans="1:17" ht="13.15" x14ac:dyDescent="0.4">
      <c r="A87" s="296" t="s">
        <v>1068</v>
      </c>
      <c r="B87" s="179"/>
      <c r="E87" s="120"/>
      <c r="F87" s="75"/>
      <c r="G87" s="152"/>
      <c r="H87" s="177"/>
      <c r="I87" s="109"/>
      <c r="J87" s="107"/>
      <c r="K87" s="162"/>
      <c r="L87" s="109"/>
      <c r="M87" s="45"/>
      <c r="N87" s="45"/>
      <c r="O87" s="45"/>
      <c r="P87" s="45"/>
      <c r="Q87" s="45"/>
    </row>
    <row r="88" spans="1:17" s="70" customFormat="1" x14ac:dyDescent="0.35">
      <c r="A88" s="81"/>
      <c r="B88" s="81">
        <v>2</v>
      </c>
      <c r="C88" s="83">
        <v>1</v>
      </c>
      <c r="D88" s="83" t="s">
        <v>46</v>
      </c>
      <c r="E88" s="113" t="s">
        <v>963</v>
      </c>
      <c r="F88" s="478" t="str">
        <f>+Volumenes!D211</f>
        <v>ENV_BUL_SAT</v>
      </c>
      <c r="G88" s="143">
        <f>VLOOKUP(F88,Volumenes!$D$20:$F$292,3,FALSE)</f>
        <v>2</v>
      </c>
      <c r="H88" s="97"/>
      <c r="I88" s="123">
        <f>30/60</f>
        <v>0.5</v>
      </c>
      <c r="J88" s="110">
        <f>+I88*(1+Tiempos!$C$17)</f>
        <v>0.52625</v>
      </c>
      <c r="K88" s="123">
        <f>+J88*G88</f>
        <v>1.0525</v>
      </c>
      <c r="L88" s="98">
        <f>+K88/Tiempos!$B$11</f>
        <v>2.2880434782608697E-3</v>
      </c>
      <c r="M88" s="261">
        <f>+K88/Tiempos!$B$12</f>
        <v>1.1440217391304349E-3</v>
      </c>
      <c r="N88" s="233"/>
      <c r="O88" s="233"/>
      <c r="P88" s="233"/>
      <c r="Q88" s="233"/>
    </row>
    <row r="89" spans="1:17" s="70" customFormat="1" x14ac:dyDescent="0.35">
      <c r="A89" s="81"/>
      <c r="B89" s="81">
        <v>2</v>
      </c>
      <c r="C89" s="83">
        <v>1</v>
      </c>
      <c r="D89" s="83" t="s">
        <v>327</v>
      </c>
      <c r="E89" s="113" t="s">
        <v>987</v>
      </c>
      <c r="F89" s="83" t="str">
        <f>+F88</f>
        <v>ENV_BUL_SAT</v>
      </c>
      <c r="G89" s="143">
        <f>VLOOKUP(F89,Volumenes!$D$20:$F$292,3,FALSE)</f>
        <v>2</v>
      </c>
      <c r="H89" s="97"/>
      <c r="I89" s="123">
        <v>4</v>
      </c>
      <c r="J89" s="110">
        <f>+I89*(1+Tiempos!$C$17)</f>
        <v>4.21</v>
      </c>
      <c r="K89" s="123">
        <f>+J89*G89</f>
        <v>8.42</v>
      </c>
      <c r="L89" s="98">
        <f>+K89/Tiempos!$B$11</f>
        <v>1.8304347826086958E-2</v>
      </c>
      <c r="M89" s="261">
        <f>+K89/Tiempos!$B$12</f>
        <v>9.1521739130434789E-3</v>
      </c>
      <c r="N89" s="233"/>
      <c r="O89" s="233"/>
      <c r="P89" s="233"/>
      <c r="Q89" s="233"/>
    </row>
    <row r="90" spans="1:17" s="70" customFormat="1" x14ac:dyDescent="0.35">
      <c r="A90" s="92"/>
      <c r="B90" s="92">
        <v>2</v>
      </c>
      <c r="C90" s="100">
        <v>1</v>
      </c>
      <c r="D90" s="100" t="s">
        <v>46</v>
      </c>
      <c r="E90" s="112" t="s">
        <v>973</v>
      </c>
      <c r="F90" s="100" t="str">
        <f>+F89</f>
        <v>ENV_BUL_SAT</v>
      </c>
      <c r="G90" s="144">
        <f>VLOOKUP(F90,Volumenes!$D$20:$F$292,3,FALSE)</f>
        <v>2</v>
      </c>
      <c r="H90" s="155">
        <v>10</v>
      </c>
      <c r="I90" s="103">
        <f>(H90/Tiempos!$B$29)/60</f>
        <v>8.5470085470085472E-2</v>
      </c>
      <c r="J90" s="111">
        <f>+I90*(1+Tiempos!$C$17)</f>
        <v>8.9957264957264957E-2</v>
      </c>
      <c r="K90" s="146">
        <f>+J90*G90</f>
        <v>0.17991452991452991</v>
      </c>
      <c r="L90" s="103">
        <f>+K90/Tiempos!$B$11</f>
        <v>3.9111854329245636E-4</v>
      </c>
      <c r="M90" s="262">
        <f>+K90/Tiempos!$B$12</f>
        <v>1.9555927164622818E-4</v>
      </c>
      <c r="N90" s="234"/>
      <c r="O90" s="234"/>
      <c r="P90" s="234"/>
      <c r="Q90" s="234"/>
    </row>
    <row r="91" spans="1:17" s="70" customFormat="1" x14ac:dyDescent="0.35">
      <c r="A91" s="81"/>
      <c r="B91" s="81">
        <v>2</v>
      </c>
      <c r="C91" s="83">
        <v>1</v>
      </c>
      <c r="D91" s="83" t="s">
        <v>327</v>
      </c>
      <c r="E91" s="113" t="s">
        <v>182</v>
      </c>
      <c r="F91" s="83" t="str">
        <f>+F90</f>
        <v>ENV_BUL_SAT</v>
      </c>
      <c r="G91" s="143">
        <f>VLOOKUP(F91,Volumenes!$D$20:$F$292,3,FALSE)</f>
        <v>2</v>
      </c>
      <c r="H91" s="97"/>
      <c r="I91" s="98">
        <f>10/60</f>
        <v>0.16666666666666666</v>
      </c>
      <c r="J91" s="110">
        <f>+I91*(1+Tiempos!$C$17)</f>
        <v>0.17541666666666667</v>
      </c>
      <c r="K91" s="123">
        <f t="shared" ref="K91:K92" si="5">+J91*G91</f>
        <v>0.35083333333333333</v>
      </c>
      <c r="L91" s="98">
        <f>+K91/Tiempos!$B$11</f>
        <v>7.6268115942028987E-4</v>
      </c>
      <c r="M91" s="261">
        <f>+K91/Tiempos!$B$12</f>
        <v>3.8134057971014494E-4</v>
      </c>
      <c r="N91" s="236"/>
      <c r="O91" s="236"/>
      <c r="P91" s="236"/>
      <c r="Q91" s="236"/>
    </row>
    <row r="92" spans="1:17" s="70" customFormat="1" x14ac:dyDescent="0.35">
      <c r="A92" s="81"/>
      <c r="B92" s="81">
        <v>2</v>
      </c>
      <c r="C92" s="83">
        <v>1</v>
      </c>
      <c r="D92" s="83" t="s">
        <v>327</v>
      </c>
      <c r="E92" s="113" t="s">
        <v>974</v>
      </c>
      <c r="F92" s="478" t="str">
        <f>+Volumenes!D210</f>
        <v>BUL_SAT</v>
      </c>
      <c r="G92" s="143">
        <f>VLOOKUP(F92,Volumenes!$D$20:$F$292,3,FALSE)</f>
        <v>8</v>
      </c>
      <c r="H92" s="97"/>
      <c r="I92" s="98">
        <f>15/60</f>
        <v>0.25</v>
      </c>
      <c r="J92" s="110">
        <f>+I92*(1+Tiempos!$C$17)</f>
        <v>0.263125</v>
      </c>
      <c r="K92" s="123">
        <f t="shared" si="5"/>
        <v>2.105</v>
      </c>
      <c r="L92" s="98">
        <f>+K92/Tiempos!$B$11</f>
        <v>4.5760869565217395E-3</v>
      </c>
      <c r="M92" s="261">
        <f>+K92/Tiempos!$B$12</f>
        <v>2.2880434782608697E-3</v>
      </c>
      <c r="N92" s="236"/>
      <c r="O92" s="236"/>
      <c r="P92" s="236"/>
      <c r="Q92" s="236"/>
    </row>
    <row r="93" spans="1:17" s="70" customFormat="1" x14ac:dyDescent="0.35">
      <c r="A93" s="92"/>
      <c r="B93" s="92">
        <v>2</v>
      </c>
      <c r="C93" s="100">
        <v>1</v>
      </c>
      <c r="D93" s="100" t="s">
        <v>46</v>
      </c>
      <c r="E93" s="112" t="s">
        <v>975</v>
      </c>
      <c r="F93" s="100" t="str">
        <f>+F92</f>
        <v>BUL_SAT</v>
      </c>
      <c r="G93" s="144">
        <f>VLOOKUP(F93,Volumenes!$D$20:$F$292,3,FALSE)</f>
        <v>8</v>
      </c>
      <c r="H93" s="155">
        <v>80</v>
      </c>
      <c r="I93" s="103">
        <f>(H93/Tiempos!$B$29)/60</f>
        <v>0.68376068376068377</v>
      </c>
      <c r="J93" s="111">
        <f>+I93*(1+Tiempos!$C$17)</f>
        <v>0.71965811965811965</v>
      </c>
      <c r="K93" s="146">
        <f>+J93*G93</f>
        <v>5.7572649572649572</v>
      </c>
      <c r="L93" s="103">
        <f>+K93/Tiempos!$B$11</f>
        <v>1.2515793385358603E-2</v>
      </c>
      <c r="M93" s="262">
        <f>+K93/Tiempos!$B$12</f>
        <v>6.2578966926793017E-3</v>
      </c>
      <c r="N93" s="237"/>
      <c r="O93" s="237"/>
      <c r="P93" s="237"/>
      <c r="Q93" s="237"/>
    </row>
    <row r="94" spans="1:17" s="70" customFormat="1" x14ac:dyDescent="0.35">
      <c r="A94" s="81"/>
      <c r="B94" s="81">
        <v>2</v>
      </c>
      <c r="C94" s="83">
        <v>1</v>
      </c>
      <c r="D94" s="83" t="s">
        <v>327</v>
      </c>
      <c r="E94" s="113" t="s">
        <v>976</v>
      </c>
      <c r="F94" s="83" t="str">
        <f>+F93</f>
        <v>BUL_SAT</v>
      </c>
      <c r="G94" s="143">
        <f>VLOOKUP(F94,Volumenes!$D$20:$F$292,3,FALSE)</f>
        <v>8</v>
      </c>
      <c r="H94" s="180"/>
      <c r="I94" s="98">
        <f>25/60</f>
        <v>0.41666666666666669</v>
      </c>
      <c r="J94" s="110">
        <f>+I94*(1+Tiempos!$C$17)</f>
        <v>0.43854166666666666</v>
      </c>
      <c r="K94" s="123">
        <f t="shared" ref="K94:K95" si="6">+J94*G94</f>
        <v>3.5083333333333333</v>
      </c>
      <c r="L94" s="98">
        <f>+K94/Tiempos!$B$11</f>
        <v>7.6268115942028985E-3</v>
      </c>
      <c r="M94" s="261">
        <f>+K94/Tiempos!$B$12</f>
        <v>3.8134057971014493E-3</v>
      </c>
      <c r="N94" s="236"/>
      <c r="O94" s="236"/>
      <c r="P94" s="236"/>
      <c r="Q94" s="236"/>
    </row>
    <row r="95" spans="1:17" x14ac:dyDescent="0.35">
      <c r="A95" s="81"/>
      <c r="B95" s="81">
        <v>2</v>
      </c>
      <c r="C95" s="83">
        <v>1</v>
      </c>
      <c r="D95" s="83" t="s">
        <v>46</v>
      </c>
      <c r="E95" s="113" t="s">
        <v>977</v>
      </c>
      <c r="F95" s="81" t="str">
        <f>+F91</f>
        <v>ENV_BUL_SAT</v>
      </c>
      <c r="G95" s="143">
        <f>VLOOKUP(F95,Volumenes!$D$20:$F$292,3,FALSE)</f>
        <v>2</v>
      </c>
      <c r="H95" s="97"/>
      <c r="I95" s="98">
        <f>10/60</f>
        <v>0.16666666666666666</v>
      </c>
      <c r="J95" s="110">
        <f>+I95*(1+Tiempos!$C$17)</f>
        <v>0.17541666666666667</v>
      </c>
      <c r="K95" s="123">
        <f t="shared" si="6"/>
        <v>0.35083333333333333</v>
      </c>
      <c r="L95" s="98">
        <f>+K95/Tiempos!$B$11</f>
        <v>7.6268115942028987E-4</v>
      </c>
      <c r="M95" s="261">
        <f>+K95/Tiempos!$B$12</f>
        <v>3.8134057971014494E-4</v>
      </c>
      <c r="N95" s="236"/>
      <c r="O95" s="236"/>
      <c r="P95" s="236"/>
      <c r="Q95" s="236"/>
    </row>
    <row r="96" spans="1:17" x14ac:dyDescent="0.35">
      <c r="L96" s="311">
        <f>SUM(L88:L95)</f>
        <v>4.722756410256411E-2</v>
      </c>
      <c r="M96" s="311">
        <f>SUM(M88:M95)</f>
        <v>2.3613782051282055E-2</v>
      </c>
      <c r="N96" s="238"/>
      <c r="O96" s="238"/>
      <c r="P96" s="238"/>
      <c r="Q96" s="238"/>
    </row>
    <row r="97" spans="1:17" x14ac:dyDescent="0.35">
      <c r="E97" s="488"/>
    </row>
    <row r="98" spans="1:17" ht="13.15" x14ac:dyDescent="0.4">
      <c r="A98" s="296" t="s">
        <v>962</v>
      </c>
      <c r="B98" s="179"/>
      <c r="E98" s="120"/>
      <c r="F98" s="75"/>
      <c r="G98" s="152"/>
      <c r="H98" s="177"/>
      <c r="I98" s="109"/>
      <c r="J98" s="107"/>
      <c r="K98" s="162"/>
      <c r="L98" s="109"/>
      <c r="M98" s="45"/>
      <c r="N98" s="45"/>
      <c r="O98" s="45"/>
      <c r="P98" s="45"/>
      <c r="Q98" s="45"/>
    </row>
    <row r="99" spans="1:17" s="70" customFormat="1" x14ac:dyDescent="0.35">
      <c r="A99" s="81"/>
      <c r="B99" s="81">
        <v>2</v>
      </c>
      <c r="C99" s="83">
        <v>1</v>
      </c>
      <c r="D99" s="83" t="s">
        <v>46</v>
      </c>
      <c r="E99" s="113" t="s">
        <v>963</v>
      </c>
      <c r="F99" s="83" t="str">
        <f>+Volumenes!D229</f>
        <v>CAJ_DEVU</v>
      </c>
      <c r="G99" s="143">
        <f>VLOOKUP(F99,Volumenes!$D$20:$F$292,3,FALSE)</f>
        <v>6.5</v>
      </c>
      <c r="H99" s="97"/>
      <c r="I99" s="123">
        <f>30/60</f>
        <v>0.5</v>
      </c>
      <c r="J99" s="110">
        <f>+I99*(1+Tiempos!$C$17)</f>
        <v>0.52625</v>
      </c>
      <c r="K99" s="123">
        <f>+J99*G99</f>
        <v>3.4206249999999998</v>
      </c>
      <c r="L99" s="98">
        <f>+K99/Tiempos!$B$11</f>
        <v>7.4361413043478259E-3</v>
      </c>
      <c r="M99" s="261">
        <f>+K99/Tiempos!B12</f>
        <v>3.7180706521739129E-3</v>
      </c>
      <c r="N99" s="233"/>
      <c r="O99" s="233"/>
      <c r="P99" s="233"/>
      <c r="Q99" s="233"/>
    </row>
    <row r="100" spans="1:17" s="70" customFormat="1" x14ac:dyDescent="0.35">
      <c r="A100" s="81"/>
      <c r="B100" s="81">
        <v>2</v>
      </c>
      <c r="C100" s="83">
        <v>1</v>
      </c>
      <c r="D100" s="83" t="s">
        <v>327</v>
      </c>
      <c r="E100" s="113" t="s">
        <v>988</v>
      </c>
      <c r="F100" s="83" t="str">
        <f t="shared" ref="F100:F106" si="7">+F99</f>
        <v>CAJ_DEVU</v>
      </c>
      <c r="G100" s="143">
        <f>VLOOKUP(F100,Volumenes!$D$20:$F$292,3,FALSE)</f>
        <v>6.5</v>
      </c>
      <c r="H100" s="97"/>
      <c r="I100" s="123">
        <v>10</v>
      </c>
      <c r="J100" s="110">
        <f>+I100*(1+Tiempos!$C$17)</f>
        <v>10.525</v>
      </c>
      <c r="K100" s="123">
        <f>+J100*G100</f>
        <v>68.412500000000009</v>
      </c>
      <c r="L100" s="98">
        <f>+K100/Tiempos!$B$11</f>
        <v>0.14872282608695653</v>
      </c>
      <c r="M100" s="261">
        <f>+K100/Tiempos!B12</f>
        <v>7.4361413043478264E-2</v>
      </c>
      <c r="N100" s="233"/>
      <c r="O100" s="233"/>
      <c r="P100" s="233"/>
      <c r="Q100" s="233"/>
    </row>
    <row r="101" spans="1:17" s="70" customFormat="1" x14ac:dyDescent="0.35">
      <c r="A101" s="92"/>
      <c r="B101" s="92">
        <v>2</v>
      </c>
      <c r="C101" s="100">
        <v>1</v>
      </c>
      <c r="D101" s="100" t="s">
        <v>46</v>
      </c>
      <c r="E101" s="112" t="s">
        <v>973</v>
      </c>
      <c r="F101" s="100" t="str">
        <f t="shared" si="7"/>
        <v>CAJ_DEVU</v>
      </c>
      <c r="G101" s="144">
        <f>VLOOKUP(F101,Volumenes!$D$20:$F$292,3,FALSE)</f>
        <v>6.5</v>
      </c>
      <c r="H101" s="155">
        <v>10</v>
      </c>
      <c r="I101" s="103">
        <f>(H101/Tiempos!$B$29)/60</f>
        <v>8.5470085470085472E-2</v>
      </c>
      <c r="J101" s="111">
        <f>+I101*(1+Tiempos!$C$17)</f>
        <v>8.9957264957264957E-2</v>
      </c>
      <c r="K101" s="146">
        <f>+J101*G101</f>
        <v>0.58472222222222225</v>
      </c>
      <c r="L101" s="103">
        <f>+K101/Tiempos!$B$11</f>
        <v>1.2711352657004832E-3</v>
      </c>
      <c r="M101" s="262">
        <f>+K101/Tiempos!$B$12</f>
        <v>6.3556763285024158E-4</v>
      </c>
      <c r="N101" s="234"/>
      <c r="O101" s="234"/>
      <c r="P101" s="234"/>
      <c r="Q101" s="234"/>
    </row>
    <row r="102" spans="1:17" s="70" customFormat="1" x14ac:dyDescent="0.35">
      <c r="A102" s="81"/>
      <c r="B102" s="81">
        <v>2</v>
      </c>
      <c r="C102" s="83">
        <v>1</v>
      </c>
      <c r="D102" s="83" t="s">
        <v>327</v>
      </c>
      <c r="E102" s="113" t="s">
        <v>182</v>
      </c>
      <c r="F102" s="83" t="str">
        <f t="shared" si="7"/>
        <v>CAJ_DEVU</v>
      </c>
      <c r="G102" s="143">
        <f>VLOOKUP(F102,Volumenes!$D$20:$F$292,3,FALSE)</f>
        <v>6.5</v>
      </c>
      <c r="H102" s="97"/>
      <c r="I102" s="98">
        <f>10/60</f>
        <v>0.16666666666666666</v>
      </c>
      <c r="J102" s="110">
        <f>+I102*(1+Tiempos!$C$17)</f>
        <v>0.17541666666666667</v>
      </c>
      <c r="K102" s="123">
        <f t="shared" ref="K102:K103" si="8">+J102*G102</f>
        <v>1.1402083333333333</v>
      </c>
      <c r="L102" s="98">
        <f>+K102/Tiempos!$B$11</f>
        <v>2.478713768115942E-3</v>
      </c>
      <c r="M102" s="261">
        <f>+K102/Tiempos!$B$12</f>
        <v>1.239356884057971E-3</v>
      </c>
      <c r="N102" s="236"/>
      <c r="O102" s="236"/>
      <c r="P102" s="236"/>
      <c r="Q102" s="236"/>
    </row>
    <row r="103" spans="1:17" s="70" customFormat="1" x14ac:dyDescent="0.35">
      <c r="A103" s="81"/>
      <c r="B103" s="81">
        <v>2</v>
      </c>
      <c r="C103" s="83">
        <v>1</v>
      </c>
      <c r="D103" s="83" t="s">
        <v>327</v>
      </c>
      <c r="E103" s="113" t="s">
        <v>974</v>
      </c>
      <c r="F103" s="83" t="str">
        <f t="shared" si="7"/>
        <v>CAJ_DEVU</v>
      </c>
      <c r="G103" s="143">
        <f>VLOOKUP(F103,Volumenes!$D$20:$F$292,3,FALSE)</f>
        <v>6.5</v>
      </c>
      <c r="H103" s="97"/>
      <c r="I103" s="98">
        <f>15/60</f>
        <v>0.25</v>
      </c>
      <c r="J103" s="110">
        <f>+I103*(1+Tiempos!$C$17)</f>
        <v>0.263125</v>
      </c>
      <c r="K103" s="123">
        <f t="shared" si="8"/>
        <v>1.7103124999999999</v>
      </c>
      <c r="L103" s="98">
        <f>+K103/Tiempos!$B$11</f>
        <v>3.7180706521739129E-3</v>
      </c>
      <c r="M103" s="261">
        <f>+K103/Tiempos!$B$12</f>
        <v>1.8590353260869565E-3</v>
      </c>
      <c r="N103" s="236"/>
      <c r="O103" s="236"/>
      <c r="P103" s="236"/>
      <c r="Q103" s="236"/>
    </row>
    <row r="104" spans="1:17" s="70" customFormat="1" x14ac:dyDescent="0.35">
      <c r="A104" s="92"/>
      <c r="B104" s="92">
        <v>2</v>
      </c>
      <c r="C104" s="100">
        <v>1</v>
      </c>
      <c r="D104" s="100" t="s">
        <v>46</v>
      </c>
      <c r="E104" s="112" t="s">
        <v>975</v>
      </c>
      <c r="F104" s="100" t="str">
        <f t="shared" si="7"/>
        <v>CAJ_DEVU</v>
      </c>
      <c r="G104" s="144">
        <f>VLOOKUP(F104,Volumenes!$D$20:$F$292,3,FALSE)</f>
        <v>6.5</v>
      </c>
      <c r="H104" s="155">
        <v>80</v>
      </c>
      <c r="I104" s="103">
        <f>(H104/Tiempos!$B$29)/60</f>
        <v>0.68376068376068377</v>
      </c>
      <c r="J104" s="111">
        <f>+I104*(1+Tiempos!$C$17)</f>
        <v>0.71965811965811965</v>
      </c>
      <c r="K104" s="146">
        <f>+J104*G104</f>
        <v>4.677777777777778</v>
      </c>
      <c r="L104" s="103">
        <f>+K104/Tiempos!$B$11</f>
        <v>1.0169082125603865E-2</v>
      </c>
      <c r="M104" s="262">
        <f>+K104/Tiempos!$B$12</f>
        <v>5.0845410628019326E-3</v>
      </c>
      <c r="N104" s="237"/>
      <c r="O104" s="237"/>
      <c r="P104" s="237"/>
      <c r="Q104" s="237"/>
    </row>
    <row r="105" spans="1:17" s="70" customFormat="1" x14ac:dyDescent="0.35">
      <c r="A105" s="81"/>
      <c r="B105" s="81">
        <v>2</v>
      </c>
      <c r="C105" s="83">
        <v>1</v>
      </c>
      <c r="D105" s="83" t="s">
        <v>327</v>
      </c>
      <c r="E105" s="113" t="s">
        <v>976</v>
      </c>
      <c r="F105" s="83" t="str">
        <f t="shared" si="7"/>
        <v>CAJ_DEVU</v>
      </c>
      <c r="G105" s="143">
        <f>VLOOKUP(F105,Volumenes!$D$20:$F$292,3,FALSE)</f>
        <v>6.5</v>
      </c>
      <c r="H105" s="180"/>
      <c r="I105" s="98">
        <f>25/60</f>
        <v>0.41666666666666669</v>
      </c>
      <c r="J105" s="110">
        <f>+I105*(1+Tiempos!$C$17)</f>
        <v>0.43854166666666666</v>
      </c>
      <c r="K105" s="123">
        <f t="shared" ref="K105" si="9">+J105*G105</f>
        <v>2.8505208333333334</v>
      </c>
      <c r="L105" s="98">
        <f>+K105/Tiempos!$B$11</f>
        <v>6.1967844202898553E-3</v>
      </c>
      <c r="M105" s="261">
        <f>+K105/Tiempos!$B$12</f>
        <v>3.0983922101449277E-3</v>
      </c>
      <c r="N105" s="236"/>
      <c r="O105" s="236"/>
      <c r="P105" s="236"/>
      <c r="Q105" s="236"/>
    </row>
    <row r="106" spans="1:17" s="70" customFormat="1" x14ac:dyDescent="0.35">
      <c r="A106" s="81"/>
      <c r="B106" s="81">
        <v>2</v>
      </c>
      <c r="C106" s="83">
        <v>1</v>
      </c>
      <c r="D106" s="83" t="s">
        <v>46</v>
      </c>
      <c r="E106" s="113" t="s">
        <v>977</v>
      </c>
      <c r="F106" s="81" t="str">
        <f t="shared" si="7"/>
        <v>CAJ_DEVU</v>
      </c>
      <c r="G106" s="143">
        <f>VLOOKUP(F106,Volumenes!$D$20:$F$292,3,FALSE)</f>
        <v>6.5</v>
      </c>
      <c r="H106" s="97"/>
      <c r="I106" s="98">
        <f>10/60</f>
        <v>0.16666666666666666</v>
      </c>
      <c r="J106" s="110">
        <f>+I106*(1+Tiempos!$C$17)</f>
        <v>0.17541666666666667</v>
      </c>
      <c r="K106" s="123">
        <f t="shared" ref="K106" si="10">+J106*G106</f>
        <v>1.1402083333333333</v>
      </c>
      <c r="L106" s="271">
        <f>+K106/Tiempos!$B$11</f>
        <v>2.478713768115942E-3</v>
      </c>
      <c r="M106" s="490">
        <f>+K106/Tiempos!$B$12</f>
        <v>1.239356884057971E-3</v>
      </c>
      <c r="N106" s="491"/>
      <c r="O106" s="491"/>
      <c r="P106" s="491"/>
      <c r="Q106" s="491"/>
    </row>
    <row r="107" spans="1:17" x14ac:dyDescent="0.35">
      <c r="L107" s="311">
        <f>SUM(L99:L106)</f>
        <v>0.1824714673913044</v>
      </c>
      <c r="M107" s="311">
        <f>SUM(M99:M106)</f>
        <v>9.1235733695652202E-2</v>
      </c>
      <c r="N107" s="238"/>
      <c r="O107" s="238"/>
      <c r="P107" s="238"/>
      <c r="Q107" s="238"/>
    </row>
    <row r="108" spans="1:17" x14ac:dyDescent="0.35">
      <c r="L108" s="489"/>
      <c r="M108" s="489"/>
    </row>
    <row r="109" spans="1:17" ht="13.15" x14ac:dyDescent="0.4">
      <c r="A109" s="296" t="s">
        <v>989</v>
      </c>
      <c r="B109" s="179"/>
      <c r="E109" s="120"/>
      <c r="F109" s="75"/>
      <c r="G109" s="152"/>
      <c r="H109" s="177"/>
      <c r="I109" s="109"/>
      <c r="J109" s="107"/>
      <c r="K109" s="162"/>
      <c r="L109" s="109"/>
      <c r="M109" s="45"/>
      <c r="N109" s="45"/>
      <c r="O109" s="45"/>
      <c r="P109" s="45"/>
      <c r="Q109" s="45"/>
    </row>
    <row r="110" spans="1:17" s="70" customFormat="1" x14ac:dyDescent="0.35">
      <c r="A110" s="81"/>
      <c r="B110" s="81">
        <v>2</v>
      </c>
      <c r="C110" s="83">
        <v>1</v>
      </c>
      <c r="D110" s="83" t="s">
        <v>46</v>
      </c>
      <c r="E110" s="113" t="s">
        <v>990</v>
      </c>
      <c r="F110" s="83" t="str">
        <f>+Volumenes!D230</f>
        <v>CHI_VIA</v>
      </c>
      <c r="G110" s="143">
        <f>VLOOKUP(F110,Volumenes!$D$20:$F$292,3,FALSE)</f>
        <v>3</v>
      </c>
      <c r="H110" s="97"/>
      <c r="I110" s="123">
        <f>600/60</f>
        <v>10</v>
      </c>
      <c r="J110" s="110">
        <f>+I110*(1+Tiempos!$C$17)</f>
        <v>10.525</v>
      </c>
      <c r="K110" s="123">
        <f>+J110*G110</f>
        <v>31.575000000000003</v>
      </c>
      <c r="L110" s="98">
        <f>+K110/Tiempos!$B$11</f>
        <v>6.8641304347826088E-2</v>
      </c>
      <c r="M110" s="261">
        <f>+K110/Tiempos!$B$12</f>
        <v>3.4320652173913044E-2</v>
      </c>
      <c r="N110" s="233"/>
      <c r="O110" s="233"/>
      <c r="P110" s="233"/>
      <c r="Q110" s="233"/>
    </row>
    <row r="111" spans="1:17" s="70" customFormat="1" x14ac:dyDescent="0.35">
      <c r="A111" s="81"/>
      <c r="B111" s="81">
        <v>2</v>
      </c>
      <c r="C111" s="83">
        <v>1</v>
      </c>
      <c r="D111" s="83" t="s">
        <v>327</v>
      </c>
      <c r="E111" s="113" t="s">
        <v>992</v>
      </c>
      <c r="F111" s="83" t="str">
        <f>+Volumenes!D231</f>
        <v>ERR_CHI_GOI</v>
      </c>
      <c r="G111" s="143">
        <f>VLOOKUP(F111,Volumenes!$D$20:$F$292,3,FALSE)</f>
        <v>0.68159999999999998</v>
      </c>
      <c r="H111" s="97"/>
      <c r="I111" s="123">
        <f>300/60</f>
        <v>5</v>
      </c>
      <c r="J111" s="110">
        <f>+I111*(1+Tiempos!$C$17)</f>
        <v>5.2625000000000002</v>
      </c>
      <c r="K111" s="123">
        <f>+J111*G111</f>
        <v>3.5869200000000001</v>
      </c>
      <c r="L111" s="98">
        <f>+K111/Tiempos!$B$11</f>
        <v>7.7976521739130441E-3</v>
      </c>
      <c r="M111" s="261">
        <f>+K111/Tiempos!$B$12</f>
        <v>3.898826086956522E-3</v>
      </c>
      <c r="N111" s="233"/>
      <c r="O111" s="233"/>
      <c r="P111" s="233"/>
      <c r="Q111" s="233"/>
    </row>
    <row r="112" spans="1:17" s="70" customFormat="1" x14ac:dyDescent="0.35">
      <c r="A112" s="92"/>
      <c r="B112" s="92">
        <v>2</v>
      </c>
      <c r="C112" s="100">
        <v>1</v>
      </c>
      <c r="D112" s="100" t="s">
        <v>46</v>
      </c>
      <c r="E112" s="112" t="s">
        <v>995</v>
      </c>
      <c r="F112" s="100" t="str">
        <f>+Volumenes!D32</f>
        <v>REF_CHINA</v>
      </c>
      <c r="G112" s="144">
        <f>VLOOKUP(F112,Volumenes!$D$20:$F$292,3,FALSE)</f>
        <v>34.08</v>
      </c>
      <c r="H112" s="155">
        <v>30</v>
      </c>
      <c r="I112" s="103">
        <f>(H112/Tiempos!$B$29)/60</f>
        <v>0.25641025641025644</v>
      </c>
      <c r="J112" s="111">
        <f>+I112*(1+Tiempos!$C$17)</f>
        <v>0.26987179487179491</v>
      </c>
      <c r="K112" s="146">
        <f>+J112*G112</f>
        <v>9.1972307692307709</v>
      </c>
      <c r="L112" s="103">
        <f>+K112/Tiempos!$B$11</f>
        <v>1.9993979933110372E-2</v>
      </c>
      <c r="M112" s="262">
        <f>+K112/Tiempos!$B$12</f>
        <v>9.9969899665551861E-3</v>
      </c>
      <c r="N112" s="234"/>
      <c r="O112" s="234"/>
      <c r="P112" s="234"/>
      <c r="Q112" s="234"/>
    </row>
    <row r="113" spans="1:17" s="70" customFormat="1" x14ac:dyDescent="0.35">
      <c r="A113" s="81"/>
      <c r="B113" s="81">
        <v>2</v>
      </c>
      <c r="C113" s="83">
        <v>1</v>
      </c>
      <c r="D113" s="83" t="s">
        <v>327</v>
      </c>
      <c r="E113" s="113" t="s">
        <v>996</v>
      </c>
      <c r="F113" s="83" t="str">
        <f t="shared" ref="F113:F117" si="11">+F112</f>
        <v>REF_CHINA</v>
      </c>
      <c r="G113" s="143">
        <f>VLOOKUP(F113,Volumenes!$D$20:$F$292,3,FALSE)</f>
        <v>34.08</v>
      </c>
      <c r="H113" s="97"/>
      <c r="I113" s="98">
        <f>15/60</f>
        <v>0.25</v>
      </c>
      <c r="J113" s="110">
        <f>+I113*(1+Tiempos!$C$17)</f>
        <v>0.263125</v>
      </c>
      <c r="K113" s="123">
        <f t="shared" ref="K113:K114" si="12">+J113*G113</f>
        <v>8.9672999999999998</v>
      </c>
      <c r="L113" s="98">
        <f>+K113/Tiempos!$B$11</f>
        <v>1.9494130434782608E-2</v>
      </c>
      <c r="M113" s="261">
        <f>+K113/Tiempos!$B$12</f>
        <v>9.7470652173913038E-3</v>
      </c>
      <c r="N113" s="236"/>
      <c r="O113" s="236"/>
      <c r="P113" s="236"/>
      <c r="Q113" s="236"/>
    </row>
    <row r="114" spans="1:17" s="70" customFormat="1" x14ac:dyDescent="0.35">
      <c r="A114" s="81"/>
      <c r="B114" s="81">
        <v>2</v>
      </c>
      <c r="C114" s="83">
        <v>1</v>
      </c>
      <c r="D114" s="83" t="s">
        <v>327</v>
      </c>
      <c r="E114" s="113" t="s">
        <v>997</v>
      </c>
      <c r="F114" s="83" t="str">
        <f t="shared" si="11"/>
        <v>REF_CHINA</v>
      </c>
      <c r="G114" s="143">
        <f>VLOOKUP(F114,Volumenes!$D$20:$F$292,3,FALSE)</f>
        <v>34.08</v>
      </c>
      <c r="H114" s="97"/>
      <c r="I114" s="98">
        <f>15/60</f>
        <v>0.25</v>
      </c>
      <c r="J114" s="110">
        <f>+I114*(1+Tiempos!$C$17)</f>
        <v>0.263125</v>
      </c>
      <c r="K114" s="123">
        <f t="shared" si="12"/>
        <v>8.9672999999999998</v>
      </c>
      <c r="L114" s="98">
        <f>+K114/Tiempos!$B$11</f>
        <v>1.9494130434782608E-2</v>
      </c>
      <c r="M114" s="261">
        <f>+K114/Tiempos!$B$12</f>
        <v>9.7470652173913038E-3</v>
      </c>
      <c r="N114" s="236"/>
      <c r="O114" s="236"/>
      <c r="P114" s="236"/>
      <c r="Q114" s="236"/>
    </row>
    <row r="115" spans="1:17" s="70" customFormat="1" x14ac:dyDescent="0.35">
      <c r="A115" s="92"/>
      <c r="B115" s="92">
        <v>2</v>
      </c>
      <c r="C115" s="100">
        <v>1</v>
      </c>
      <c r="D115" s="100" t="s">
        <v>46</v>
      </c>
      <c r="E115" s="112" t="s">
        <v>998</v>
      </c>
      <c r="F115" s="100" t="str">
        <f t="shared" si="11"/>
        <v>REF_CHINA</v>
      </c>
      <c r="G115" s="144">
        <f>VLOOKUP(F115,Volumenes!$D$20:$F$292,3,FALSE)</f>
        <v>34.08</v>
      </c>
      <c r="H115" s="155">
        <v>10</v>
      </c>
      <c r="I115" s="103">
        <f>(H115/Tiempos!$B$29)/60</f>
        <v>8.5470085470085472E-2</v>
      </c>
      <c r="J115" s="111">
        <f>+I115*(1+Tiempos!$C$17)</f>
        <v>8.9957264957264957E-2</v>
      </c>
      <c r="K115" s="146">
        <f>+J115*G115</f>
        <v>3.0657435897435894</v>
      </c>
      <c r="L115" s="103">
        <f>+K115/Tiempos!$B$11</f>
        <v>6.6646599777034554E-3</v>
      </c>
      <c r="M115" s="262">
        <f>+K115/Tiempos!$B$12</f>
        <v>3.3323299888517277E-3</v>
      </c>
      <c r="N115" s="237"/>
      <c r="O115" s="237"/>
      <c r="P115" s="237"/>
      <c r="Q115" s="237"/>
    </row>
    <row r="116" spans="1:17" s="70" customFormat="1" x14ac:dyDescent="0.35">
      <c r="A116" s="81"/>
      <c r="B116" s="81">
        <v>2</v>
      </c>
      <c r="C116" s="83">
        <v>1</v>
      </c>
      <c r="D116" s="83" t="s">
        <v>327</v>
      </c>
      <c r="E116" s="113" t="s">
        <v>996</v>
      </c>
      <c r="F116" s="83" t="str">
        <f t="shared" si="11"/>
        <v>REF_CHINA</v>
      </c>
      <c r="G116" s="143">
        <f>VLOOKUP(F116,Volumenes!$D$20:$F$292,3,FALSE)</f>
        <v>34.08</v>
      </c>
      <c r="H116" s="180"/>
      <c r="I116" s="98">
        <f>15/60</f>
        <v>0.25</v>
      </c>
      <c r="J116" s="110">
        <f>+I116*(1+Tiempos!$C$17)</f>
        <v>0.263125</v>
      </c>
      <c r="K116" s="123">
        <f t="shared" ref="K116:K117" si="13">+J116*G116</f>
        <v>8.9672999999999998</v>
      </c>
      <c r="L116" s="98">
        <f>+K116/Tiempos!$B$11</f>
        <v>1.9494130434782608E-2</v>
      </c>
      <c r="M116" s="261">
        <f>+K116/Tiempos!$B$12</f>
        <v>9.7470652173913038E-3</v>
      </c>
      <c r="N116" s="236"/>
      <c r="O116" s="236"/>
      <c r="P116" s="236"/>
      <c r="Q116" s="236"/>
    </row>
    <row r="117" spans="1:17" s="70" customFormat="1" x14ac:dyDescent="0.35">
      <c r="A117" s="81"/>
      <c r="B117" s="81">
        <v>2</v>
      </c>
      <c r="C117" s="83">
        <v>1</v>
      </c>
      <c r="D117" s="83" t="s">
        <v>46</v>
      </c>
      <c r="E117" s="113" t="s">
        <v>997</v>
      </c>
      <c r="F117" s="81" t="str">
        <f t="shared" si="11"/>
        <v>REF_CHINA</v>
      </c>
      <c r="G117" s="143">
        <f>VLOOKUP(F117,Volumenes!$D$20:$F$292,3,FALSE)</f>
        <v>34.08</v>
      </c>
      <c r="H117" s="97"/>
      <c r="I117" s="98">
        <f>15/60</f>
        <v>0.25</v>
      </c>
      <c r="J117" s="110">
        <f>+I117*(1+Tiempos!$C$17)</f>
        <v>0.263125</v>
      </c>
      <c r="K117" s="123">
        <f t="shared" si="13"/>
        <v>8.9672999999999998</v>
      </c>
      <c r="L117" s="271">
        <f>+K117/Tiempos!$B$11</f>
        <v>1.9494130434782608E-2</v>
      </c>
      <c r="M117" s="490">
        <f>+K117/Tiempos!$B$12</f>
        <v>9.7470652173913038E-3</v>
      </c>
      <c r="N117" s="491"/>
      <c r="O117" s="491"/>
      <c r="P117" s="491"/>
      <c r="Q117" s="491"/>
    </row>
    <row r="118" spans="1:17" x14ac:dyDescent="0.35">
      <c r="L118" s="311">
        <f>SUM(L110:L117)</f>
        <v>0.18107411817168337</v>
      </c>
      <c r="M118" s="311">
        <f>SUM(M110:M117)</f>
        <v>9.0537059085841684E-2</v>
      </c>
      <c r="N118" s="238"/>
      <c r="O118" s="238"/>
      <c r="P118" s="238"/>
      <c r="Q118" s="238"/>
    </row>
    <row r="119" spans="1:17" ht="15" x14ac:dyDescent="0.4">
      <c r="A119" s="487"/>
      <c r="C119" s="52"/>
      <c r="F119" s="44"/>
      <c r="G119" s="153"/>
      <c r="K119" s="169" t="s">
        <v>40</v>
      </c>
      <c r="L119" s="86">
        <f>+L73+L48+L85+L96+L107+L118</f>
        <v>1.7075139384730944</v>
      </c>
      <c r="M119" s="86">
        <f>+M73+M48+M85+M95+M107+M118</f>
        <v>0.45571700586746883</v>
      </c>
      <c r="N119" s="86"/>
      <c r="O119" s="86"/>
      <c r="P119" s="86" t="e">
        <f ca="1">SUM(P9:P644)</f>
        <v>#N/A</v>
      </c>
      <c r="Q119" s="86" t="e">
        <f ca="1">SUM(Q9:Q644)</f>
        <v>#N/A</v>
      </c>
    </row>
    <row r="120" spans="1:17" ht="13.9" x14ac:dyDescent="0.4">
      <c r="G120" s="153"/>
      <c r="K120" s="170" t="s">
        <v>41</v>
      </c>
      <c r="L120" s="244">
        <v>2</v>
      </c>
      <c r="M120" s="244">
        <v>2</v>
      </c>
      <c r="N120" s="171">
        <v>0</v>
      </c>
      <c r="O120" s="171"/>
      <c r="P120" s="171">
        <v>0</v>
      </c>
      <c r="Q120" s="171">
        <v>0</v>
      </c>
    </row>
    <row r="121" spans="1:17" ht="13.5" x14ac:dyDescent="0.35">
      <c r="G121" s="153"/>
      <c r="K121" s="169" t="s">
        <v>42</v>
      </c>
      <c r="L121" s="122">
        <f>+L119/L120</f>
        <v>0.8537569692365472</v>
      </c>
      <c r="M121" s="122">
        <f>+M119/M120</f>
        <v>0.22785850293373441</v>
      </c>
      <c r="N121" s="122" t="e">
        <f>+N119/N120</f>
        <v>#DIV/0!</v>
      </c>
      <c r="O121" s="122"/>
      <c r="P121" s="122" t="e">
        <f ca="1">+P119/P120</f>
        <v>#N/A</v>
      </c>
      <c r="Q121" s="122" t="e">
        <f ca="1">+Q119/Q120</f>
        <v>#N/A</v>
      </c>
    </row>
    <row r="122" spans="1:17" x14ac:dyDescent="0.35">
      <c r="G122" s="153"/>
      <c r="K122" s="165"/>
    </row>
    <row r="123" spans="1:17" s="70" customFormat="1" ht="17.649999999999999" x14ac:dyDescent="0.35">
      <c r="A123" s="79" t="s">
        <v>147</v>
      </c>
      <c r="B123" s="79"/>
      <c r="E123" s="94"/>
      <c r="F123" s="80"/>
      <c r="G123" s="154"/>
      <c r="H123" s="80"/>
      <c r="I123" s="80"/>
      <c r="J123" s="80"/>
      <c r="K123" s="168"/>
      <c r="L123" s="80"/>
    </row>
    <row r="124" spans="1:17" x14ac:dyDescent="0.35">
      <c r="A124" s="92"/>
      <c r="B124" s="92">
        <v>2</v>
      </c>
      <c r="C124" s="100">
        <v>1</v>
      </c>
      <c r="D124" s="100" t="s">
        <v>333</v>
      </c>
      <c r="E124" s="101" t="s">
        <v>250</v>
      </c>
      <c r="F124" s="92" t="str">
        <f>+Volumenes!$D$62</f>
        <v>REF_EXT_TRA</v>
      </c>
      <c r="G124" s="144">
        <f>VLOOKUP(F124,Volumenes!$D$20:$F$184,3,FALSE)</f>
        <v>87.435599999999994</v>
      </c>
      <c r="H124" s="102">
        <f>+Tiempos!E64</f>
        <v>5</v>
      </c>
      <c r="I124" s="103">
        <f>+Tiempos!F64</f>
        <v>4.2735042735042736E-2</v>
      </c>
      <c r="J124" s="111">
        <f>+I124*(1+Tiempos!$C$17)</f>
        <v>4.4978632478632478E-2</v>
      </c>
      <c r="K124" s="146">
        <f>+J124*G124</f>
        <v>3.9327337179487176</v>
      </c>
      <c r="L124" s="103">
        <f>+K124/Tiempos!$B$11</f>
        <v>8.5494211259754729E-3</v>
      </c>
      <c r="M124" s="237"/>
      <c r="N124" s="237">
        <f>IF($D124=Tiempos!$A$35,"",IF($B124=Tiempos!$A$36,L124,L124/2))</f>
        <v>4.2747105629877364E-3</v>
      </c>
      <c r="O124" s="237"/>
      <c r="P124" s="237"/>
      <c r="Q124" s="237"/>
    </row>
    <row r="125" spans="1:17" x14ac:dyDescent="0.35">
      <c r="A125" s="81"/>
      <c r="B125" s="81">
        <v>2</v>
      </c>
      <c r="C125" s="83">
        <v>1</v>
      </c>
      <c r="D125" s="83" t="s">
        <v>333</v>
      </c>
      <c r="E125" s="99" t="s">
        <v>251</v>
      </c>
      <c r="F125" s="81" t="str">
        <f>+Volumenes!$D$62</f>
        <v>REF_EXT_TRA</v>
      </c>
      <c r="G125" s="143">
        <f>VLOOKUP(F125,Volumenes!$D$20:$F$184,3,FALSE)</f>
        <v>87.435599999999994</v>
      </c>
      <c r="H125" s="97"/>
      <c r="I125" s="98">
        <f>18/60</f>
        <v>0.3</v>
      </c>
      <c r="J125" s="110">
        <f>+I125*(1+Tiempos!$C$17)</f>
        <v>0.31574999999999998</v>
      </c>
      <c r="K125" s="123">
        <f>+J125*G125</f>
        <v>27.607790699999995</v>
      </c>
      <c r="L125" s="98">
        <f>+K125/Tiempos!$B$11</f>
        <v>6.0016936304347818E-2</v>
      </c>
      <c r="M125" s="236"/>
      <c r="N125" s="236">
        <f>IF($D125=Tiempos!$A$35,"",IF($B125=Tiempos!$A$36,L125,L125/2))</f>
        <v>3.0008468152173909E-2</v>
      </c>
      <c r="O125" s="236"/>
      <c r="P125" s="236"/>
      <c r="Q125" s="236"/>
    </row>
    <row r="126" spans="1:17" x14ac:dyDescent="0.35">
      <c r="A126" s="92"/>
      <c r="B126" s="92">
        <v>2</v>
      </c>
      <c r="C126" s="100">
        <v>1</v>
      </c>
      <c r="D126" s="100" t="s">
        <v>333</v>
      </c>
      <c r="E126" s="101" t="s">
        <v>189</v>
      </c>
      <c r="F126" s="92" t="str">
        <f>+F125</f>
        <v>REF_EXT_TRA</v>
      </c>
      <c r="G126" s="144">
        <f>VLOOKUP(F126,Volumenes!$D$20:$F$184,3,FALSE)</f>
        <v>87.435599999999994</v>
      </c>
      <c r="H126" s="102">
        <f>+Tiempos!E64</f>
        <v>5</v>
      </c>
      <c r="I126" s="103">
        <f>+Tiempos!F64</f>
        <v>4.2735042735042736E-2</v>
      </c>
      <c r="J126" s="111">
        <f>+I126*(1+Tiempos!$C$17)</f>
        <v>4.4978632478632478E-2</v>
      </c>
      <c r="K126" s="146">
        <f>+J126*G126</f>
        <v>3.9327337179487176</v>
      </c>
      <c r="L126" s="103">
        <f>+K126/Tiempos!$B$11</f>
        <v>8.5494211259754729E-3</v>
      </c>
      <c r="M126" s="237"/>
      <c r="N126" s="237">
        <f>IF($D126=Tiempos!$A$35,"",IF($B126=Tiempos!$A$36,L126,L126/2))</f>
        <v>4.2747105629877364E-3</v>
      </c>
      <c r="O126" s="237"/>
      <c r="P126" s="237"/>
      <c r="Q126" s="237"/>
    </row>
    <row r="127" spans="1:17" x14ac:dyDescent="0.35">
      <c r="A127" s="81"/>
      <c r="B127" s="81">
        <v>2</v>
      </c>
      <c r="C127" s="83">
        <v>1</v>
      </c>
      <c r="D127" s="83" t="s">
        <v>333</v>
      </c>
      <c r="E127" s="99" t="s">
        <v>252</v>
      </c>
      <c r="F127" s="81" t="s">
        <v>253</v>
      </c>
      <c r="G127" s="143">
        <f>VLOOKUP(F127,Volumenes!$D$20:$F$184,3,FALSE)</f>
        <v>174.87119999999999</v>
      </c>
      <c r="H127" s="97"/>
      <c r="I127" s="98">
        <f>+I125</f>
        <v>0.3</v>
      </c>
      <c r="J127" s="110">
        <f>+I127*(1+Tiempos!$C$17)</f>
        <v>0.31574999999999998</v>
      </c>
      <c r="K127" s="123">
        <f t="shared" ref="K127:K132" si="14">+J127*G127</f>
        <v>55.215581399999991</v>
      </c>
      <c r="L127" s="98">
        <f>+K127/Tiempos!$B$11</f>
        <v>0.12003387260869564</v>
      </c>
      <c r="M127" s="236"/>
      <c r="N127" s="236">
        <f>IF($D127=Tiempos!$A$35,"",IF($B127=Tiempos!$A$36,L127,L127/2))</f>
        <v>6.0016936304347818E-2</v>
      </c>
      <c r="O127" s="236"/>
      <c r="P127" s="236"/>
      <c r="Q127" s="236"/>
    </row>
    <row r="128" spans="1:17" x14ac:dyDescent="0.35">
      <c r="A128" s="92"/>
      <c r="B128" s="92">
        <v>2</v>
      </c>
      <c r="C128" s="100">
        <v>1</v>
      </c>
      <c r="D128" s="100" t="s">
        <v>333</v>
      </c>
      <c r="E128" s="101" t="s">
        <v>192</v>
      </c>
      <c r="F128" s="92" t="s">
        <v>74</v>
      </c>
      <c r="G128" s="144">
        <f>VLOOKUP(F128,Volumenes!$D$20:$F$184,3,FALSE)</f>
        <v>87.435599999999994</v>
      </c>
      <c r="H128" s="102">
        <f>VLOOKUP(F128,Tiempos!$D$42:$F$113,2,FALSE)</f>
        <v>20</v>
      </c>
      <c r="I128" s="103">
        <f>+Tiempos!F64</f>
        <v>4.2735042735042736E-2</v>
      </c>
      <c r="J128" s="111">
        <f>+I128*(1+Tiempos!$C$17)</f>
        <v>4.4978632478632478E-2</v>
      </c>
      <c r="K128" s="146">
        <f t="shared" si="14"/>
        <v>3.9327337179487176</v>
      </c>
      <c r="L128" s="103">
        <f>+K128/Tiempos!$B$11</f>
        <v>8.5494211259754729E-3</v>
      </c>
      <c r="M128" s="237"/>
      <c r="N128" s="237">
        <f>IF($D128=Tiempos!$A$35,"",IF($B128=Tiempos!$A$36,L128,L128/2))</f>
        <v>4.2747105629877364E-3</v>
      </c>
      <c r="O128" s="237"/>
      <c r="P128" s="237"/>
      <c r="Q128" s="237"/>
    </row>
    <row r="129" spans="1:17" x14ac:dyDescent="0.35">
      <c r="A129" s="81"/>
      <c r="B129" s="81">
        <v>2</v>
      </c>
      <c r="C129" s="83">
        <v>1</v>
      </c>
      <c r="D129" s="83" t="s">
        <v>46</v>
      </c>
      <c r="E129" s="99" t="s">
        <v>190</v>
      </c>
      <c r="F129" s="81" t="s">
        <v>74</v>
      </c>
      <c r="G129" s="143">
        <f>VLOOKUP(F129,Volumenes!$D$20:$F$184,3,FALSE)</f>
        <v>87.435599999999994</v>
      </c>
      <c r="H129" s="97"/>
      <c r="I129" s="98">
        <v>5</v>
      </c>
      <c r="J129" s="110">
        <f>+I129*(1+Tiempos!$C$17)</f>
        <v>5.2625000000000002</v>
      </c>
      <c r="K129" s="123">
        <f t="shared" si="14"/>
        <v>460.12984499999999</v>
      </c>
      <c r="L129" s="98">
        <f>+K129/Tiempos!$B$11</f>
        <v>1.0002822717391304</v>
      </c>
      <c r="M129" s="236"/>
      <c r="N129" s="236" t="str">
        <f>IF($D129=Tiempos!$A$35,"",IF($B129=Tiempos!$A$36,L129,L129/2))</f>
        <v/>
      </c>
      <c r="O129" s="236"/>
      <c r="P129" s="236" t="str">
        <f>IF($D129=Tiempos!$A$35,"",IF($B129=Tiempos!$A$36,N129,N129/2))</f>
        <v/>
      </c>
      <c r="Q129" s="236" t="str">
        <f>IF($D129=Tiempos!$A$35,"",IF($B129=Tiempos!$A$36,P129,P129/2))</f>
        <v/>
      </c>
    </row>
    <row r="130" spans="1:17" x14ac:dyDescent="0.35">
      <c r="A130" s="81"/>
      <c r="B130" s="81">
        <v>2</v>
      </c>
      <c r="C130" s="83">
        <v>1</v>
      </c>
      <c r="D130" s="83" t="s">
        <v>46</v>
      </c>
      <c r="E130" s="45" t="s">
        <v>191</v>
      </c>
      <c r="F130" s="81" t="s">
        <v>74</v>
      </c>
      <c r="G130" s="143">
        <f>VLOOKUP(F130,Volumenes!$D$20:$F$184,3,FALSE)</f>
        <v>87.435599999999994</v>
      </c>
      <c r="H130" s="97"/>
      <c r="I130" s="98">
        <v>0.8</v>
      </c>
      <c r="J130" s="110">
        <f>+I130*(1+Tiempos!$C$17)</f>
        <v>0.84200000000000008</v>
      </c>
      <c r="K130" s="123">
        <f t="shared" si="14"/>
        <v>73.620775199999997</v>
      </c>
      <c r="L130" s="98">
        <f>+K130/Tiempos!$B$11</f>
        <v>0.16004516347826087</v>
      </c>
      <c r="M130" s="236" t="str">
        <f>IF($D130=Tiempos!$A$35,"",IF($B130=Tiempos!$A$36,L130,L130/2))</f>
        <v/>
      </c>
      <c r="N130" s="236" t="str">
        <f>IF($D130=Tiempos!$A$35,"",IF($B130=Tiempos!$A$36,L130,L130/2))</f>
        <v/>
      </c>
      <c r="O130" s="236"/>
      <c r="P130" s="236" t="str">
        <f>IF($D130=Tiempos!$A$35,"",IF($B130=Tiempos!$A$36,N130,N130/2))</f>
        <v/>
      </c>
      <c r="Q130" s="236" t="str">
        <f>IF($D130=Tiempos!$A$35,"",IF($B130=Tiempos!$A$36,P130,P130/2))</f>
        <v/>
      </c>
    </row>
    <row r="131" spans="1:17" x14ac:dyDescent="0.35">
      <c r="A131" s="81"/>
      <c r="B131" s="81">
        <v>2</v>
      </c>
      <c r="C131" s="83">
        <v>1</v>
      </c>
      <c r="D131" s="83" t="s">
        <v>46</v>
      </c>
      <c r="E131" s="99" t="s">
        <v>193</v>
      </c>
      <c r="F131" s="81" t="s">
        <v>253</v>
      </c>
      <c r="G131" s="143">
        <f>VLOOKUP(F131,Volumenes!$D$20:$F$184,3,FALSE)</f>
        <v>174.87119999999999</v>
      </c>
      <c r="H131" s="97"/>
      <c r="I131" s="98">
        <v>0.15</v>
      </c>
      <c r="J131" s="110">
        <f>+I131*(1+Tiempos!$C$17)</f>
        <v>0.15787499999999999</v>
      </c>
      <c r="K131" s="123">
        <f t="shared" si="14"/>
        <v>27.607790699999995</v>
      </c>
      <c r="L131" s="98">
        <f>+K131/Tiempos!$B$11</f>
        <v>6.0016936304347818E-2</v>
      </c>
      <c r="M131" s="236" t="str">
        <f>IF($D131=Tiempos!$A$35,"",IF($B131=Tiempos!$A$36,L131,L131/2))</f>
        <v/>
      </c>
      <c r="N131" s="236" t="str">
        <f>IF($D131=Tiempos!$A$35,"",IF($B131=Tiempos!$A$36,L131,L131/2))</f>
        <v/>
      </c>
      <c r="O131" s="236"/>
      <c r="P131" s="236" t="str">
        <f>IF($D131=Tiempos!$A$35,"",IF($B131=Tiempos!$A$36,N131,N131/2))</f>
        <v/>
      </c>
      <c r="Q131" s="236" t="str">
        <f>IF($D131=Tiempos!$A$35,"",IF($B131=Tiempos!$A$36,P131,P131/2))</f>
        <v/>
      </c>
    </row>
    <row r="132" spans="1:17" x14ac:dyDescent="0.35">
      <c r="A132" s="92"/>
      <c r="B132" s="92">
        <v>2</v>
      </c>
      <c r="C132" s="100">
        <v>1</v>
      </c>
      <c r="D132" s="100" t="s">
        <v>46</v>
      </c>
      <c r="E132" s="101" t="s">
        <v>192</v>
      </c>
      <c r="F132" s="92" t="str">
        <f>+Volumenes!$D$62</f>
        <v>REF_EXT_TRA</v>
      </c>
      <c r="G132" s="144">
        <f>VLOOKUP(F132,Volumenes!$D$20:$F$184,3,FALSE)</f>
        <v>87.435599999999994</v>
      </c>
      <c r="H132" s="102">
        <f>+Tiempos!E64</f>
        <v>5</v>
      </c>
      <c r="I132" s="103">
        <f>+Tiempos!F64</f>
        <v>4.2735042735042736E-2</v>
      </c>
      <c r="J132" s="111">
        <f>+I132*(1+Tiempos!$C$17)</f>
        <v>4.4978632478632478E-2</v>
      </c>
      <c r="K132" s="146">
        <f t="shared" si="14"/>
        <v>3.9327337179487176</v>
      </c>
      <c r="L132" s="103">
        <f>+K132/Tiempos!$B$11</f>
        <v>8.5494211259754729E-3</v>
      </c>
      <c r="M132" s="237" t="str">
        <f>IF($D132=Tiempos!$A$35,"",IF($B132=Tiempos!$A$36,L132,L132/2))</f>
        <v/>
      </c>
      <c r="N132" s="237" t="str">
        <f>IF($D132=Tiempos!$A$35,"",IF($B132=Tiempos!$A$36,L132,L132/2))</f>
        <v/>
      </c>
      <c r="O132" s="237"/>
      <c r="P132" s="237" t="str">
        <f>IF($D132=Tiempos!$A$35,"",IF($B132=Tiempos!$A$36,N132,N132/2))</f>
        <v/>
      </c>
      <c r="Q132" s="237" t="str">
        <f>IF($D132=Tiempos!$A$35,"",IF($B132=Tiempos!$A$36,P132,P132/2))</f>
        <v/>
      </c>
    </row>
    <row r="133" spans="1:17" ht="13.5" x14ac:dyDescent="0.35">
      <c r="A133" s="75"/>
      <c r="B133" s="75"/>
      <c r="E133" s="104"/>
      <c r="F133" s="75"/>
      <c r="G133" s="152"/>
      <c r="H133" s="105"/>
      <c r="I133" s="106"/>
      <c r="J133" s="107"/>
      <c r="K133" s="169" t="s">
        <v>40</v>
      </c>
      <c r="L133" s="86">
        <f>SUM(L124:L132)</f>
        <v>1.4345928649386848</v>
      </c>
      <c r="M133" s="86">
        <f>SUM(M124:M132)</f>
        <v>0</v>
      </c>
      <c r="N133" s="86">
        <f>SUM(N124:N132)</f>
        <v>0.10284953614548493</v>
      </c>
      <c r="O133" s="86"/>
      <c r="P133" s="86">
        <f>SUM(P124:P132)</f>
        <v>0</v>
      </c>
      <c r="Q133" s="86">
        <f>SUM(Q124:Q132)</f>
        <v>0</v>
      </c>
    </row>
    <row r="134" spans="1:17" ht="13.9" x14ac:dyDescent="0.4">
      <c r="B134" s="199"/>
      <c r="E134" s="104"/>
      <c r="F134" s="75"/>
      <c r="G134" s="152"/>
      <c r="H134" s="105"/>
      <c r="I134" s="106"/>
      <c r="J134" s="107"/>
      <c r="K134" s="170" t="s">
        <v>41</v>
      </c>
      <c r="L134" s="245">
        <v>2</v>
      </c>
      <c r="M134" s="93">
        <v>0</v>
      </c>
      <c r="N134" s="93">
        <v>1</v>
      </c>
      <c r="O134" s="93"/>
      <c r="P134" s="93">
        <v>0</v>
      </c>
      <c r="Q134" s="93">
        <v>0</v>
      </c>
    </row>
    <row r="135" spans="1:17" ht="13.5" x14ac:dyDescent="0.35">
      <c r="A135" s="200" t="s">
        <v>194</v>
      </c>
      <c r="B135" s="200"/>
      <c r="E135" s="104"/>
      <c r="F135" s="75"/>
      <c r="G135" s="152"/>
      <c r="H135" s="105"/>
      <c r="I135" s="106"/>
      <c r="J135" s="107"/>
      <c r="K135" s="169" t="s">
        <v>42</v>
      </c>
      <c r="L135" s="122">
        <f>+L133/L134</f>
        <v>0.71729643246934238</v>
      </c>
      <c r="M135" s="122" t="e">
        <f>+M133/M134</f>
        <v>#DIV/0!</v>
      </c>
      <c r="N135" s="122">
        <f>+N133/N134</f>
        <v>0.10284953614548493</v>
      </c>
      <c r="O135" s="122"/>
      <c r="P135" s="122" t="e">
        <f>+P133/P134</f>
        <v>#DIV/0!</v>
      </c>
      <c r="Q135" s="122" t="e">
        <f>+Q133/Q134</f>
        <v>#DIV/0!</v>
      </c>
    </row>
    <row r="136" spans="1:17" x14ac:dyDescent="0.35">
      <c r="A136" s="75"/>
      <c r="B136" s="75"/>
      <c r="E136" s="104"/>
      <c r="F136" s="75"/>
      <c r="G136" s="152"/>
      <c r="H136" s="105"/>
      <c r="I136" s="106"/>
      <c r="J136" s="107"/>
      <c r="K136" s="162"/>
      <c r="L136" s="106"/>
    </row>
    <row r="137" spans="1:17" ht="17.649999999999999" x14ac:dyDescent="0.35">
      <c r="A137" s="79" t="s">
        <v>66</v>
      </c>
      <c r="B137" s="79"/>
      <c r="C137" s="70"/>
      <c r="D137" s="70"/>
      <c r="E137" s="94"/>
      <c r="F137" s="80"/>
      <c r="G137" s="154"/>
      <c r="H137" s="80"/>
      <c r="I137" s="80"/>
      <c r="J137" s="80"/>
      <c r="K137" s="168"/>
      <c r="L137" s="80"/>
    </row>
    <row r="138" spans="1:17" ht="13.15" x14ac:dyDescent="0.4">
      <c r="A138" s="84" t="s">
        <v>854</v>
      </c>
      <c r="B138" s="84"/>
      <c r="C138" s="70"/>
      <c r="D138" s="70"/>
      <c r="E138" s="94"/>
      <c r="F138" s="80"/>
      <c r="G138" s="154"/>
      <c r="H138" s="80"/>
      <c r="I138" s="80"/>
      <c r="J138" s="80"/>
      <c r="K138" s="168"/>
      <c r="L138" s="80"/>
    </row>
    <row r="139" spans="1:17" x14ac:dyDescent="0.35">
      <c r="A139" s="81"/>
      <c r="B139" s="81">
        <v>2</v>
      </c>
      <c r="C139" s="83">
        <v>1</v>
      </c>
      <c r="D139" s="83" t="s">
        <v>334</v>
      </c>
      <c r="E139" s="99" t="s">
        <v>255</v>
      </c>
      <c r="F139" s="81" t="str">
        <f>+Volumenes!D88</f>
        <v>UB_BUL_PROV</v>
      </c>
      <c r="G139" s="143">
        <f>VLOOKUP(F139,Volumenes!$D$20:$F$184,3,FALSE)</f>
        <v>191.46029642637322</v>
      </c>
      <c r="H139" s="97"/>
      <c r="I139" s="98">
        <f>22/60</f>
        <v>0.36666666666666664</v>
      </c>
      <c r="J139" s="110">
        <f>+I139*(1+Tiempos!$C$17)</f>
        <v>0.38591666666666663</v>
      </c>
      <c r="K139" s="123">
        <f>+J139*G139</f>
        <v>73.887719395877852</v>
      </c>
      <c r="L139" s="98">
        <f>+K139/Tiempos!$B$11</f>
        <v>0.16062547694756055</v>
      </c>
      <c r="M139" s="236"/>
      <c r="N139" s="236"/>
      <c r="O139" s="236"/>
      <c r="P139" s="236"/>
      <c r="Q139" s="261">
        <f>+K139/Tiempos!$B$12</f>
        <v>8.0312738473780274E-2</v>
      </c>
    </row>
    <row r="140" spans="1:17" x14ac:dyDescent="0.35">
      <c r="A140" s="92"/>
      <c r="B140" s="92">
        <v>2</v>
      </c>
      <c r="C140" s="100">
        <v>1</v>
      </c>
      <c r="D140" s="100" t="s">
        <v>334</v>
      </c>
      <c r="E140" s="101" t="s">
        <v>67</v>
      </c>
      <c r="F140" s="92" t="s">
        <v>129</v>
      </c>
      <c r="G140" s="144">
        <f>VLOOKUP(F140,Volumenes!$D$20:$F$184,3,FALSE)</f>
        <v>191.46029642637322</v>
      </c>
      <c r="H140" s="102">
        <f>+Tiempos!E66</f>
        <v>100</v>
      </c>
      <c r="I140" s="103">
        <f>+Tiempos!F66</f>
        <v>0.85470085470085477</v>
      </c>
      <c r="J140" s="111">
        <f>+I140*(1+Tiempos!$C$17)</f>
        <v>0.8995726495726496</v>
      </c>
      <c r="K140" s="146">
        <f>+J140*G140</f>
        <v>172.23244614423746</v>
      </c>
      <c r="L140" s="103">
        <f>+K140/Tiempos!$B$11</f>
        <v>0.37441836118312488</v>
      </c>
      <c r="M140" s="237"/>
      <c r="N140" s="237"/>
      <c r="O140" s="237"/>
      <c r="P140" s="237"/>
      <c r="Q140" s="262">
        <f>+K140/Tiempos!$B$12</f>
        <v>0.18720918059156244</v>
      </c>
    </row>
    <row r="141" spans="1:17" x14ac:dyDescent="0.35">
      <c r="A141" s="81"/>
      <c r="B141" s="81">
        <v>2</v>
      </c>
      <c r="C141" s="83">
        <v>1</v>
      </c>
      <c r="D141" s="83" t="s">
        <v>334</v>
      </c>
      <c r="E141" s="99" t="s">
        <v>203</v>
      </c>
      <c r="F141" s="81" t="str">
        <f>+F142</f>
        <v>UB_BUL_PROV</v>
      </c>
      <c r="G141" s="143">
        <f>VLOOKUP(F141,Volumenes!$D$20:$F$184,3,FALSE)</f>
        <v>191.46029642637322</v>
      </c>
      <c r="H141" s="97"/>
      <c r="I141" s="98">
        <f>7/60</f>
        <v>0.11666666666666667</v>
      </c>
      <c r="J141" s="110">
        <f>+I141*(1+Tiempos!$C$17)</f>
        <v>0.12279166666666667</v>
      </c>
      <c r="K141" s="123">
        <f>+J141*G141</f>
        <v>23.509728898688412</v>
      </c>
      <c r="L141" s="98">
        <f>+K141/Tiempos!$B$11</f>
        <v>5.110810630149655E-2</v>
      </c>
      <c r="M141" s="236"/>
      <c r="N141" s="236"/>
      <c r="O141" s="236"/>
      <c r="P141" s="236"/>
      <c r="Q141" s="261">
        <f>+K141/Tiempos!$B$12</f>
        <v>2.5554053150748275E-2</v>
      </c>
    </row>
    <row r="142" spans="1:17" x14ac:dyDescent="0.35">
      <c r="A142" s="81"/>
      <c r="B142" s="81">
        <v>2</v>
      </c>
      <c r="C142" s="83">
        <v>1</v>
      </c>
      <c r="D142" s="83" t="s">
        <v>334</v>
      </c>
      <c r="E142" s="99" t="s">
        <v>202</v>
      </c>
      <c r="F142" s="81" t="str">
        <f>+Volumenes!D88</f>
        <v>UB_BUL_PROV</v>
      </c>
      <c r="G142" s="143">
        <f>VLOOKUP(F142,Volumenes!$D$20:$F$184,3,FALSE)</f>
        <v>191.46029642637322</v>
      </c>
      <c r="H142" s="97"/>
      <c r="I142" s="98">
        <f>30/60</f>
        <v>0.5</v>
      </c>
      <c r="J142" s="110">
        <f>+I142*(1+Tiempos!$C$17)</f>
        <v>0.52625</v>
      </c>
      <c r="K142" s="123">
        <f>+J142*G142</f>
        <v>100.7559809943789</v>
      </c>
      <c r="L142" s="98">
        <f>+K142/Tiempos!$B$11</f>
        <v>0.21903474129212805</v>
      </c>
      <c r="M142" s="236"/>
      <c r="N142" s="236"/>
      <c r="O142" s="236"/>
      <c r="P142" s="236"/>
      <c r="Q142" s="261">
        <f>+K142/Tiempos!$B$12</f>
        <v>0.10951737064606402</v>
      </c>
    </row>
    <row r="143" spans="1:17" x14ac:dyDescent="0.35">
      <c r="A143" s="92"/>
      <c r="B143" s="92">
        <v>2</v>
      </c>
      <c r="C143" s="100">
        <v>1</v>
      </c>
      <c r="D143" s="100" t="s">
        <v>334</v>
      </c>
      <c r="E143" s="101" t="s">
        <v>68</v>
      </c>
      <c r="F143" s="92" t="s">
        <v>129</v>
      </c>
      <c r="G143" s="144">
        <f>VLOOKUP(F143,Volumenes!$D$20:$F$184,3,FALSE)</f>
        <v>191.46029642637322</v>
      </c>
      <c r="H143" s="102">
        <f>+Tiempos!E66</f>
        <v>100</v>
      </c>
      <c r="I143" s="103">
        <f>+Tiempos!F66</f>
        <v>0.85470085470085477</v>
      </c>
      <c r="J143" s="111">
        <f>+I143*(1+Tiempos!$C$17)</f>
        <v>0.8995726495726496</v>
      </c>
      <c r="K143" s="146">
        <f>+J143*G143</f>
        <v>172.23244614423746</v>
      </c>
      <c r="L143" s="103">
        <f>+K143/Tiempos!$B$11</f>
        <v>0.37441836118312488</v>
      </c>
      <c r="M143" s="237"/>
      <c r="N143" s="237"/>
      <c r="O143" s="237"/>
      <c r="P143" s="237"/>
      <c r="Q143" s="262">
        <f>+K143/Tiempos!$B$12</f>
        <v>0.18720918059156244</v>
      </c>
    </row>
    <row r="144" spans="1:17" ht="13.5" x14ac:dyDescent="0.35">
      <c r="A144" s="199"/>
      <c r="B144" s="75"/>
      <c r="E144" s="104"/>
      <c r="F144" s="75"/>
      <c r="G144" s="152"/>
      <c r="H144" s="105"/>
      <c r="I144" s="109"/>
      <c r="J144" s="107"/>
      <c r="K144" s="82" t="s">
        <v>40</v>
      </c>
      <c r="L144" s="86">
        <f>SUM(L139:L143)</f>
        <v>1.1796050469074348</v>
      </c>
      <c r="M144" s="236"/>
      <c r="N144" s="236"/>
      <c r="O144" s="236"/>
      <c r="P144" s="236"/>
      <c r="Q144" s="261">
        <f>SUM(Q139:Q143)</f>
        <v>0.58980252345371742</v>
      </c>
    </row>
    <row r="145" spans="1:17" ht="13.9" x14ac:dyDescent="0.4">
      <c r="B145" s="213"/>
      <c r="E145" s="104"/>
      <c r="F145" s="75"/>
      <c r="G145" s="152"/>
      <c r="H145" s="105"/>
      <c r="I145" s="109"/>
      <c r="J145" s="107"/>
      <c r="K145" s="82"/>
      <c r="L145" s="195"/>
      <c r="M145" s="195"/>
      <c r="N145" s="195"/>
      <c r="O145" s="195"/>
      <c r="P145" s="195"/>
      <c r="Q145" s="195"/>
    </row>
    <row r="146" spans="1:17" ht="13.15" x14ac:dyDescent="0.4">
      <c r="A146" s="84" t="s">
        <v>1005</v>
      </c>
      <c r="B146" s="84"/>
      <c r="C146" s="70"/>
      <c r="D146" s="70"/>
      <c r="E146" s="94"/>
      <c r="F146" s="80"/>
      <c r="G146" s="154"/>
      <c r="H146" s="80"/>
      <c r="I146" s="80"/>
      <c r="J146" s="80"/>
      <c r="K146" s="168"/>
      <c r="L146" s="80"/>
    </row>
    <row r="147" spans="1:17" x14ac:dyDescent="0.35">
      <c r="A147" s="92"/>
      <c r="B147" s="92">
        <v>2</v>
      </c>
      <c r="C147" s="100">
        <v>1</v>
      </c>
      <c r="D147" s="100" t="s">
        <v>69</v>
      </c>
      <c r="E147" s="101" t="s">
        <v>484</v>
      </c>
      <c r="F147" s="92" t="str">
        <f>+Volumenes!D43</f>
        <v>CHA_MUL_3D</v>
      </c>
      <c r="G147" s="144">
        <f>VLOOKUP(F147,Volumenes!$D$20:$F$222,3,FALSE)</f>
        <v>35.086257962610034</v>
      </c>
      <c r="H147" s="102">
        <f>+Tiempos!E95</f>
        <v>43</v>
      </c>
      <c r="I147" s="103">
        <f>+Tiempos!F95</f>
        <v>0.36752136752136749</v>
      </c>
      <c r="J147" s="111">
        <f>+I147*(1+Tiempos!$C$17)</f>
        <v>0.38681623931623926</v>
      </c>
      <c r="K147" s="146">
        <f t="shared" ref="K147" si="15">+J147*G147</f>
        <v>13.571934356776268</v>
      </c>
      <c r="L147" s="103">
        <f>+K147/Tiempos!$B$11</f>
        <v>2.950420512342667E-2</v>
      </c>
      <c r="M147" s="243"/>
      <c r="N147" s="243"/>
      <c r="O147" s="243"/>
      <c r="P147" s="243"/>
      <c r="Q147" s="262">
        <f>+K147/Tiempos!$B$12</f>
        <v>1.4752102561713335E-2</v>
      </c>
    </row>
    <row r="148" spans="1:17" x14ac:dyDescent="0.35">
      <c r="A148" s="81"/>
      <c r="B148" s="81">
        <v>2</v>
      </c>
      <c r="C148" s="83">
        <v>1</v>
      </c>
      <c r="D148" s="83" t="s">
        <v>69</v>
      </c>
      <c r="E148" s="99" t="s">
        <v>625</v>
      </c>
      <c r="F148" s="81" t="str">
        <f>+F147</f>
        <v>CHA_MUL_3D</v>
      </c>
      <c r="G148" s="143">
        <f>VLOOKUP(F148,Volumenes!$D$20:$F$222,3,FALSE)</f>
        <v>35.086257962610034</v>
      </c>
      <c r="H148" s="97"/>
      <c r="I148" s="98">
        <v>0.15</v>
      </c>
      <c r="J148" s="110">
        <f>+I148*(1+Tiempos!$C$17)</f>
        <v>0.15787499999999999</v>
      </c>
      <c r="K148" s="123">
        <f t="shared" ref="K148:K151" si="16">+J148*G148</f>
        <v>5.5392429758470589</v>
      </c>
      <c r="L148" s="98">
        <f>+K148/Tiempos!$B$11</f>
        <v>1.2041832556189258E-2</v>
      </c>
      <c r="M148" s="238"/>
      <c r="N148" s="238"/>
      <c r="O148" s="238"/>
      <c r="P148" s="238"/>
      <c r="Q148" s="261">
        <f>+K148/Tiempos!$B$12</f>
        <v>6.0209162780946292E-3</v>
      </c>
    </row>
    <row r="149" spans="1:17" x14ac:dyDescent="0.35">
      <c r="A149" s="81"/>
      <c r="B149" s="81">
        <v>2</v>
      </c>
      <c r="C149" s="83">
        <v>1</v>
      </c>
      <c r="D149" s="83" t="s">
        <v>69</v>
      </c>
      <c r="E149" s="99" t="s">
        <v>482</v>
      </c>
      <c r="F149" s="81" t="str">
        <f>+F148</f>
        <v>CHA_MUL_3D</v>
      </c>
      <c r="G149" s="143">
        <f>VLOOKUP(F149,Volumenes!$D$20:$F$222,3,FALSE)</f>
        <v>35.086257962610034</v>
      </c>
      <c r="H149" s="97"/>
      <c r="I149" s="98">
        <f>20/60</f>
        <v>0.33333333333333331</v>
      </c>
      <c r="J149" s="110">
        <f>+I149*(1+Tiempos!$C$17)</f>
        <v>0.35083333333333333</v>
      </c>
      <c r="K149" s="123">
        <f t="shared" si="16"/>
        <v>12.309428835215687</v>
      </c>
      <c r="L149" s="98">
        <f>+K149/Tiempos!$B$11</f>
        <v>2.6759627902642798E-2</v>
      </c>
      <c r="M149" s="238"/>
      <c r="N149" s="238"/>
      <c r="O149" s="238"/>
      <c r="P149" s="238"/>
      <c r="Q149" s="261">
        <f>+K149/Tiempos!$B$12</f>
        <v>1.3379813951321399E-2</v>
      </c>
    </row>
    <row r="150" spans="1:17" x14ac:dyDescent="0.35">
      <c r="A150" s="92"/>
      <c r="B150" s="92">
        <v>2</v>
      </c>
      <c r="C150" s="100">
        <v>1</v>
      </c>
      <c r="D150" s="100" t="s">
        <v>69</v>
      </c>
      <c r="E150" s="101" t="s">
        <v>483</v>
      </c>
      <c r="F150" s="92" t="str">
        <f>+F149</f>
        <v>CHA_MUL_3D</v>
      </c>
      <c r="G150" s="144">
        <f>VLOOKUP(F150,Volumenes!$D$20:$F$222,3,FALSE)</f>
        <v>35.086257962610034</v>
      </c>
      <c r="H150" s="102">
        <f>+Tiempos!E95</f>
        <v>43</v>
      </c>
      <c r="I150" s="103">
        <f>+Tiempos!F95</f>
        <v>0.36752136752136749</v>
      </c>
      <c r="J150" s="111">
        <f>+I150*(1+Tiempos!$C$17)</f>
        <v>0.38681623931623926</v>
      </c>
      <c r="K150" s="146">
        <f t="shared" si="16"/>
        <v>13.571934356776268</v>
      </c>
      <c r="L150" s="103">
        <f>+K150/Tiempos!$B$11</f>
        <v>2.950420512342667E-2</v>
      </c>
      <c r="M150" s="243"/>
      <c r="N150" s="243"/>
      <c r="O150" s="243"/>
      <c r="P150" s="243"/>
      <c r="Q150" s="262">
        <f>+K150/Tiempos!$B$12</f>
        <v>1.4752102561713335E-2</v>
      </c>
    </row>
    <row r="151" spans="1:17" x14ac:dyDescent="0.35">
      <c r="A151" s="81"/>
      <c r="B151" s="81">
        <v>2</v>
      </c>
      <c r="C151" s="83">
        <v>1</v>
      </c>
      <c r="D151" s="83" t="s">
        <v>69</v>
      </c>
      <c r="E151" s="99" t="s">
        <v>486</v>
      </c>
      <c r="F151" s="81" t="str">
        <f>+F150</f>
        <v>CHA_MUL_3D</v>
      </c>
      <c r="G151" s="143">
        <f>VLOOKUP(F151,Volumenes!$D$20:$F$222,3,FALSE)</f>
        <v>35.086257962610034</v>
      </c>
      <c r="H151" s="97"/>
      <c r="I151" s="98">
        <f>40/60</f>
        <v>0.66666666666666663</v>
      </c>
      <c r="J151" s="110">
        <f>+I151*(1+Tiempos!$C$17)</f>
        <v>0.70166666666666666</v>
      </c>
      <c r="K151" s="123">
        <f t="shared" si="16"/>
        <v>24.618857670431375</v>
      </c>
      <c r="L151" s="98">
        <f>+K151/Tiempos!$B$11</f>
        <v>5.3519255805285597E-2</v>
      </c>
      <c r="M151" s="238"/>
      <c r="N151" s="238"/>
      <c r="O151" s="238"/>
      <c r="P151" s="238"/>
      <c r="Q151" s="261">
        <f>+K151/Tiempos!$B$12</f>
        <v>2.6759627902642798E-2</v>
      </c>
    </row>
    <row r="152" spans="1:17" ht="13.5" x14ac:dyDescent="0.35">
      <c r="A152" s="75"/>
      <c r="B152" s="75"/>
      <c r="E152" s="104"/>
      <c r="F152" s="75"/>
      <c r="G152" s="152"/>
      <c r="H152" s="105"/>
      <c r="I152" s="109"/>
      <c r="J152" s="107"/>
      <c r="K152" s="82" t="s">
        <v>40</v>
      </c>
      <c r="L152" s="98">
        <f>SUM(L147:L151)</f>
        <v>0.151329126510971</v>
      </c>
      <c r="M152" s="246"/>
      <c r="N152" s="246"/>
      <c r="O152" s="246"/>
      <c r="P152" s="246"/>
      <c r="Q152" s="261">
        <f>SUM(Q147:Q151)</f>
        <v>7.5664563255485498E-2</v>
      </c>
    </row>
    <row r="153" spans="1:17" ht="13.5" x14ac:dyDescent="0.35">
      <c r="A153" s="75"/>
      <c r="B153" s="75"/>
      <c r="E153" s="104"/>
      <c r="F153" s="75"/>
      <c r="G153" s="152"/>
      <c r="H153" s="105"/>
      <c r="I153" s="109"/>
      <c r="J153" s="107"/>
      <c r="K153" s="82"/>
      <c r="L153" s="109"/>
      <c r="M153" s="191"/>
      <c r="N153" s="191"/>
      <c r="O153" s="191"/>
      <c r="P153" s="191"/>
      <c r="Q153" s="64"/>
    </row>
    <row r="154" spans="1:17" ht="13.15" x14ac:dyDescent="0.4">
      <c r="A154" s="84" t="s">
        <v>999</v>
      </c>
      <c r="B154" s="84"/>
      <c r="C154" s="70"/>
      <c r="D154" s="70"/>
      <c r="E154" s="94"/>
      <c r="F154" s="80"/>
      <c r="G154" s="154"/>
      <c r="H154" s="80"/>
      <c r="I154" s="80"/>
      <c r="J154" s="80"/>
      <c r="K154" s="168"/>
      <c r="L154" s="80"/>
    </row>
    <row r="155" spans="1:17" x14ac:dyDescent="0.35">
      <c r="A155" s="92"/>
      <c r="B155" s="92">
        <v>2</v>
      </c>
      <c r="C155" s="100">
        <v>1</v>
      </c>
      <c r="D155" s="100" t="s">
        <v>69</v>
      </c>
      <c r="E155" s="101" t="s">
        <v>808</v>
      </c>
      <c r="F155" s="393" t="str">
        <f>+Volumenes!D205</f>
        <v>ARM_ALM</v>
      </c>
      <c r="G155" s="144">
        <f>VLOOKUP(F155,Volumenes!$D$20:$F$222,3,FALSE)</f>
        <v>1</v>
      </c>
      <c r="H155" s="102">
        <v>50</v>
      </c>
      <c r="I155" s="103">
        <f>(H155/Tiempos!B29)/60</f>
        <v>0.42735042735042739</v>
      </c>
      <c r="J155" s="111">
        <f>+I155*(1+Tiempos!$C$17)</f>
        <v>0.4497863247863248</v>
      </c>
      <c r="K155" s="146">
        <f t="shared" ref="K155:K160" si="17">+J155*G155</f>
        <v>0.4497863247863248</v>
      </c>
      <c r="L155" s="103">
        <f>+K155/Tiempos!$B$11</f>
        <v>9.7779635823114089E-4</v>
      </c>
      <c r="M155" s="262">
        <f>+K155/Tiempos!$B$12</f>
        <v>4.8889817911557045E-4</v>
      </c>
      <c r="N155" s="243"/>
      <c r="O155" s="243"/>
      <c r="P155" s="243"/>
      <c r="Q155" s="262"/>
    </row>
    <row r="156" spans="1:17" x14ac:dyDescent="0.35">
      <c r="A156" s="81"/>
      <c r="B156" s="81">
        <v>2</v>
      </c>
      <c r="C156" s="83">
        <v>1</v>
      </c>
      <c r="D156" s="83" t="s">
        <v>69</v>
      </c>
      <c r="E156" s="99" t="s">
        <v>812</v>
      </c>
      <c r="F156" s="391" t="str">
        <f>+F155</f>
        <v>ARM_ALM</v>
      </c>
      <c r="G156" s="143">
        <f>VLOOKUP(F156,Volumenes!$D$20:$F$222,3,FALSE)</f>
        <v>1</v>
      </c>
      <c r="H156" s="97"/>
      <c r="I156" s="98">
        <f>8/60</f>
        <v>0.13333333333333333</v>
      </c>
      <c r="J156" s="110">
        <f>+I156*(1+Tiempos!$C$17)</f>
        <v>0.14033333333333334</v>
      </c>
      <c r="K156" s="123">
        <f t="shared" ref="K156" si="18">+J156*G156</f>
        <v>0.14033333333333334</v>
      </c>
      <c r="L156" s="98">
        <f>+K156/Tiempos!$B$11</f>
        <v>3.0507246376811596E-4</v>
      </c>
      <c r="M156" s="261">
        <f>+K156/Tiempos!$B$12</f>
        <v>1.5253623188405798E-4</v>
      </c>
      <c r="N156" s="238"/>
      <c r="O156" s="238"/>
      <c r="P156" s="238"/>
      <c r="Q156" s="261"/>
    </row>
    <row r="157" spans="1:17" x14ac:dyDescent="0.35">
      <c r="A157" s="81"/>
      <c r="B157" s="81">
        <v>2</v>
      </c>
      <c r="C157" s="83">
        <v>1</v>
      </c>
      <c r="D157" s="83" t="s">
        <v>69</v>
      </c>
      <c r="E157" s="99" t="s">
        <v>897</v>
      </c>
      <c r="F157" s="391" t="str">
        <f>+F156</f>
        <v>ARM_ALM</v>
      </c>
      <c r="G157" s="143">
        <f>VLOOKUP(F157,Volumenes!$D$20:$F$222,3,FALSE)</f>
        <v>1</v>
      </c>
      <c r="H157" s="97"/>
      <c r="I157" s="98">
        <f>15/60</f>
        <v>0.25</v>
      </c>
      <c r="J157" s="110">
        <f>+I157*(1+Tiempos!$C$17)</f>
        <v>0.263125</v>
      </c>
      <c r="K157" s="123">
        <f t="shared" si="17"/>
        <v>0.263125</v>
      </c>
      <c r="L157" s="98">
        <f>+K157/Tiempos!$B$11</f>
        <v>5.7201086956521743E-4</v>
      </c>
      <c r="M157" s="261">
        <f>+K157/Tiempos!$B$12</f>
        <v>2.8600543478260872E-4</v>
      </c>
      <c r="N157" s="238"/>
      <c r="O157" s="238"/>
      <c r="P157" s="238"/>
      <c r="Q157" s="261"/>
    </row>
    <row r="158" spans="1:17" x14ac:dyDescent="0.35">
      <c r="A158" s="92"/>
      <c r="B158" s="92">
        <v>2</v>
      </c>
      <c r="C158" s="100">
        <v>1</v>
      </c>
      <c r="D158" s="100" t="s">
        <v>69</v>
      </c>
      <c r="E158" s="101" t="s">
        <v>809</v>
      </c>
      <c r="F158" s="393" t="str">
        <f>+F157</f>
        <v>ARM_ALM</v>
      </c>
      <c r="G158" s="144">
        <f>VLOOKUP(F158,Volumenes!$D$20:$F$222,3,FALSE)</f>
        <v>1</v>
      </c>
      <c r="H158" s="102">
        <f>VLOOKUP(F158,Tiempos!$D$42:$F$113,2,FALSE)</f>
        <v>55</v>
      </c>
      <c r="I158" s="103">
        <f>VLOOKUP(F158,Tiempos!$D$41:$F$229,3,FALSE)</f>
        <v>0.47008547008547008</v>
      </c>
      <c r="J158" s="111">
        <f>+I158*(1+Tiempos!$C$17)</f>
        <v>0.49476495726495728</v>
      </c>
      <c r="K158" s="146">
        <f t="shared" si="17"/>
        <v>0.49476495726495728</v>
      </c>
      <c r="L158" s="103">
        <f>+K158/Tiempos!$B$11</f>
        <v>1.075575994054255E-3</v>
      </c>
      <c r="M158" s="262">
        <f>+K158/Tiempos!$B$12</f>
        <v>5.3778799702712749E-4</v>
      </c>
      <c r="N158" s="243"/>
      <c r="O158" s="243"/>
      <c r="P158" s="243"/>
      <c r="Q158" s="262"/>
    </row>
    <row r="159" spans="1:17" x14ac:dyDescent="0.35">
      <c r="A159" s="81"/>
      <c r="B159" s="81">
        <v>2</v>
      </c>
      <c r="C159" s="83">
        <v>1</v>
      </c>
      <c r="D159" s="83" t="s">
        <v>69</v>
      </c>
      <c r="E159" s="99" t="s">
        <v>810</v>
      </c>
      <c r="F159" s="391" t="str">
        <f>+F158</f>
        <v>ARM_ALM</v>
      </c>
      <c r="G159" s="143">
        <f>VLOOKUP(F159,Volumenes!$D$20:$F$222,3,FALSE)</f>
        <v>1</v>
      </c>
      <c r="H159" s="97"/>
      <c r="I159" s="98">
        <f>25/60</f>
        <v>0.41666666666666669</v>
      </c>
      <c r="J159" s="110">
        <f>+I159*(1+Tiempos!$C$17)</f>
        <v>0.43854166666666666</v>
      </c>
      <c r="K159" s="123">
        <f t="shared" ref="K159" si="19">+J159*G159</f>
        <v>0.43854166666666666</v>
      </c>
      <c r="L159" s="98">
        <f>+K159/Tiempos!$B$11</f>
        <v>9.5335144927536232E-4</v>
      </c>
      <c r="M159" s="261">
        <f>+K159/Tiempos!$B$12</f>
        <v>4.7667572463768116E-4</v>
      </c>
      <c r="N159" s="238"/>
      <c r="O159" s="238"/>
      <c r="P159" s="238"/>
      <c r="Q159" s="261"/>
    </row>
    <row r="160" spans="1:17" x14ac:dyDescent="0.35">
      <c r="A160" s="92"/>
      <c r="B160" s="92">
        <v>2</v>
      </c>
      <c r="C160" s="100">
        <v>1</v>
      </c>
      <c r="D160" s="100" t="s">
        <v>69</v>
      </c>
      <c r="E160" s="101" t="s">
        <v>811</v>
      </c>
      <c r="F160" s="393" t="str">
        <f>+F159</f>
        <v>ARM_ALM</v>
      </c>
      <c r="G160" s="144">
        <f>VLOOKUP(F160,Volumenes!$D$20:$F$222,3,FALSE)</f>
        <v>1</v>
      </c>
      <c r="H160" s="102"/>
      <c r="I160" s="103">
        <f>40/60</f>
        <v>0.66666666666666663</v>
      </c>
      <c r="J160" s="111">
        <f>+I160*(1+Tiempos!$C$17)</f>
        <v>0.70166666666666666</v>
      </c>
      <c r="K160" s="146">
        <f t="shared" si="17"/>
        <v>0.70166666666666666</v>
      </c>
      <c r="L160" s="103">
        <f>+K160/Tiempos!$B$11</f>
        <v>1.5253623188405797E-3</v>
      </c>
      <c r="M160" s="262">
        <f>+K160/Tiempos!$B$12</f>
        <v>7.6268115942028987E-4</v>
      </c>
      <c r="N160" s="243"/>
      <c r="O160" s="243"/>
      <c r="P160" s="243"/>
      <c r="Q160" s="262"/>
    </row>
    <row r="161" spans="1:17" ht="13.5" x14ac:dyDescent="0.35">
      <c r="A161" s="75"/>
      <c r="B161" s="75"/>
      <c r="E161" s="104"/>
      <c r="F161" s="75"/>
      <c r="G161" s="152"/>
      <c r="H161" s="105"/>
      <c r="I161" s="109"/>
      <c r="J161" s="107"/>
      <c r="K161" s="82" t="s">
        <v>40</v>
      </c>
      <c r="L161" s="98">
        <f>SUM(L155:L160)</f>
        <v>5.4091694537346715E-3</v>
      </c>
      <c r="M161" s="434">
        <f>SUM(M155:M160)</f>
        <v>2.7045847268673357E-3</v>
      </c>
      <c r="N161" s="246"/>
      <c r="O161" s="246"/>
      <c r="P161" s="246"/>
      <c r="Q161" s="261"/>
    </row>
    <row r="162" spans="1:17" ht="13.5" x14ac:dyDescent="0.35">
      <c r="A162" s="75"/>
      <c r="B162" s="75"/>
      <c r="E162" s="104"/>
      <c r="F162" s="75"/>
      <c r="G162" s="152"/>
      <c r="H162" s="105"/>
      <c r="I162" s="109"/>
      <c r="J162" s="107"/>
      <c r="K162" s="82"/>
      <c r="L162" s="195"/>
      <c r="M162" s="191"/>
      <c r="Q162" s="312"/>
    </row>
    <row r="163" spans="1:17" ht="17.649999999999999" x14ac:dyDescent="0.35">
      <c r="A163" s="79" t="s">
        <v>185</v>
      </c>
      <c r="B163" s="79"/>
      <c r="C163" s="70"/>
      <c r="D163" s="70"/>
      <c r="E163" s="94"/>
      <c r="F163" s="80"/>
      <c r="G163" s="154"/>
      <c r="H163" s="80"/>
      <c r="I163" s="80"/>
      <c r="J163" s="80"/>
      <c r="K163" s="80"/>
      <c r="L163" s="80"/>
      <c r="M163" s="191"/>
      <c r="Q163" s="312"/>
    </row>
    <row r="164" spans="1:17" ht="13.15" x14ac:dyDescent="0.35">
      <c r="A164" s="205" t="s">
        <v>1091</v>
      </c>
      <c r="B164" s="205"/>
      <c r="C164" s="70"/>
      <c r="D164" s="70"/>
      <c r="E164" s="94"/>
      <c r="F164" s="80"/>
      <c r="G164" s="154"/>
      <c r="H164" s="80"/>
      <c r="I164" s="80"/>
      <c r="J164" s="80"/>
      <c r="K164" s="168"/>
      <c r="L164" s="80"/>
      <c r="Q164" s="312"/>
    </row>
    <row r="165" spans="1:17" x14ac:dyDescent="0.35">
      <c r="A165" s="81"/>
      <c r="B165" s="81">
        <v>2</v>
      </c>
      <c r="C165" s="83">
        <v>1</v>
      </c>
      <c r="D165" s="83" t="s">
        <v>334</v>
      </c>
      <c r="E165" s="99" t="s">
        <v>286</v>
      </c>
      <c r="F165" s="81" t="str">
        <f>+Volumenes!D99</f>
        <v>DES_PAL_PIC</v>
      </c>
      <c r="G165" s="143">
        <f>VLOOKUP(F165,Volumenes!$D$20:$F$246,3,FALSE)</f>
        <v>16.0596</v>
      </c>
      <c r="H165" s="97"/>
      <c r="I165" s="98">
        <f>10/60</f>
        <v>0.16666666666666666</v>
      </c>
      <c r="J165" s="110">
        <f>+I165*(1+Tiempos!$C$17)</f>
        <v>0.17541666666666667</v>
      </c>
      <c r="K165" s="123">
        <f t="shared" ref="K165:K174" si="20">+J165*G165</f>
        <v>2.8171214999999998</v>
      </c>
      <c r="L165" s="98">
        <f>+K165/Tiempos!$B$11</f>
        <v>6.1241771739130434E-3</v>
      </c>
      <c r="M165" s="238"/>
      <c r="N165" s="238"/>
      <c r="O165" s="238"/>
      <c r="P165" s="238"/>
      <c r="Q165" s="261">
        <f>IF($D165=Tiempos!$A$35,"",IF($B165=Tiempos!$A$36,L165,L165/2))</f>
        <v>3.0620885869565217E-3</v>
      </c>
    </row>
    <row r="166" spans="1:17" x14ac:dyDescent="0.35">
      <c r="A166" s="92"/>
      <c r="B166" s="92">
        <v>2</v>
      </c>
      <c r="C166" s="100">
        <v>1</v>
      </c>
      <c r="D166" s="100" t="s">
        <v>334</v>
      </c>
      <c r="E166" s="101" t="s">
        <v>493</v>
      </c>
      <c r="F166" s="92" t="str">
        <f t="shared" ref="F166:F175" si="21">+F165</f>
        <v>DES_PAL_PIC</v>
      </c>
      <c r="G166" s="144">
        <f>VLOOKUP(F166,Volumenes!$D$20:$F$184,3,FALSE)</f>
        <v>16.0596</v>
      </c>
      <c r="H166" s="102">
        <f>VLOOKUP(F166,Tiempos!$D$42:$F$113,2,FALSE)</f>
        <v>40</v>
      </c>
      <c r="I166" s="103">
        <f>VLOOKUP(F166,Tiempos!$D$42:$F$111,3,FALSE)</f>
        <v>0.34188034188034189</v>
      </c>
      <c r="J166" s="111">
        <f>+I166*(1+Tiempos!$C$17)</f>
        <v>0.35982905982905983</v>
      </c>
      <c r="K166" s="146">
        <f t="shared" si="20"/>
        <v>5.7787107692307691</v>
      </c>
      <c r="L166" s="103">
        <f>+K166/Tiempos!$B$11</f>
        <v>1.2562414715719063E-2</v>
      </c>
      <c r="M166" s="243"/>
      <c r="N166" s="243"/>
      <c r="O166" s="243"/>
      <c r="P166" s="243"/>
      <c r="Q166" s="262">
        <f>IF($D166=Tiempos!$A$35,"",IF($B166=Tiempos!$A$36,L166,L166/2))</f>
        <v>6.2812073578595315E-3</v>
      </c>
    </row>
    <row r="167" spans="1:17" x14ac:dyDescent="0.35">
      <c r="A167" s="81"/>
      <c r="B167" s="81">
        <v>2</v>
      </c>
      <c r="C167" s="83">
        <v>1</v>
      </c>
      <c r="D167" s="83" t="s">
        <v>334</v>
      </c>
      <c r="E167" s="99" t="s">
        <v>270</v>
      </c>
      <c r="F167" s="81" t="str">
        <f t="shared" si="21"/>
        <v>DES_PAL_PIC</v>
      </c>
      <c r="G167" s="143">
        <f>VLOOKUP(F167,Volumenes!$D$20:$F$184,3,FALSE)</f>
        <v>16.0596</v>
      </c>
      <c r="H167" s="97"/>
      <c r="I167" s="98">
        <f>20/60</f>
        <v>0.33333333333333331</v>
      </c>
      <c r="J167" s="110">
        <f>+I167*(1+Tiempos!$C$17)</f>
        <v>0.35083333333333333</v>
      </c>
      <c r="K167" s="123">
        <f t="shared" si="20"/>
        <v>5.6342429999999997</v>
      </c>
      <c r="L167" s="98">
        <f>+K167/Tiempos!$B$11</f>
        <v>1.2248354347826087E-2</v>
      </c>
      <c r="M167" s="238"/>
      <c r="N167" s="238"/>
      <c r="O167" s="238"/>
      <c r="P167" s="238"/>
      <c r="Q167" s="261">
        <f>IF($D167=Tiempos!$A$35,"",IF($B167=Tiempos!$A$36,L167,L167/2))</f>
        <v>6.1241771739130434E-3</v>
      </c>
    </row>
    <row r="168" spans="1:17" x14ac:dyDescent="0.35">
      <c r="A168" s="81"/>
      <c r="B168" s="81">
        <v>2</v>
      </c>
      <c r="C168" s="83">
        <v>1</v>
      </c>
      <c r="D168" s="83" t="s">
        <v>334</v>
      </c>
      <c r="E168" s="99" t="s">
        <v>268</v>
      </c>
      <c r="F168" s="81" t="str">
        <f t="shared" si="21"/>
        <v>DES_PAL_PIC</v>
      </c>
      <c r="G168" s="143">
        <f>VLOOKUP(F168,Volumenes!$D$20:$F$184,3,FALSE)</f>
        <v>16.0596</v>
      </c>
      <c r="H168" s="97"/>
      <c r="I168" s="98">
        <f>5/60</f>
        <v>8.3333333333333329E-2</v>
      </c>
      <c r="J168" s="110">
        <f>+I168*(1+Tiempos!$C$17)</f>
        <v>8.7708333333333333E-2</v>
      </c>
      <c r="K168" s="123">
        <f t="shared" si="20"/>
        <v>1.4085607499999999</v>
      </c>
      <c r="L168" s="98">
        <f>+K168/Tiempos!$B$11</f>
        <v>3.0620885869565217E-3</v>
      </c>
      <c r="M168" s="238"/>
      <c r="N168" s="238"/>
      <c r="O168" s="238"/>
      <c r="P168" s="238"/>
      <c r="Q168" s="261">
        <f>IF($D168=Tiempos!$A$35,"",IF($B168=Tiempos!$A$36,L168,L168/2))</f>
        <v>1.5310442934782609E-3</v>
      </c>
    </row>
    <row r="169" spans="1:17" x14ac:dyDescent="0.35">
      <c r="A169" s="92"/>
      <c r="B169" s="92">
        <v>2</v>
      </c>
      <c r="C169" s="100">
        <v>1</v>
      </c>
      <c r="D169" s="100" t="s">
        <v>334</v>
      </c>
      <c r="E169" s="101" t="s">
        <v>493</v>
      </c>
      <c r="F169" s="92" t="str">
        <f t="shared" si="21"/>
        <v>DES_PAL_PIC</v>
      </c>
      <c r="G169" s="144">
        <f>VLOOKUP(F169,Volumenes!$D$20:$F$184,3,FALSE)</f>
        <v>16.0596</v>
      </c>
      <c r="H169" s="102">
        <f>VLOOKUP(F169,Tiempos!$D$42:$F$113,2,FALSE)</f>
        <v>40</v>
      </c>
      <c r="I169" s="103">
        <f>VLOOKUP(F169,Tiempos!$D$42:$F$111,3,FALSE)</f>
        <v>0.34188034188034189</v>
      </c>
      <c r="J169" s="111">
        <f>+I169*(1+Tiempos!$C$17)</f>
        <v>0.35982905982905983</v>
      </c>
      <c r="K169" s="146">
        <f t="shared" si="20"/>
        <v>5.7787107692307691</v>
      </c>
      <c r="L169" s="103">
        <f>+K169/Tiempos!$B$11</f>
        <v>1.2562414715719063E-2</v>
      </c>
      <c r="M169" s="243"/>
      <c r="N169" s="243"/>
      <c r="O169" s="243"/>
      <c r="P169" s="243"/>
      <c r="Q169" s="262">
        <f>IF($D169=Tiempos!$A$35,"",IF($B169=Tiempos!$A$36,L169,L169/2))</f>
        <v>6.2812073578595315E-3</v>
      </c>
    </row>
    <row r="170" spans="1:17" x14ac:dyDescent="0.35">
      <c r="A170" s="81"/>
      <c r="B170" s="81">
        <v>2</v>
      </c>
      <c r="C170" s="83">
        <v>1</v>
      </c>
      <c r="D170" s="83" t="s">
        <v>334</v>
      </c>
      <c r="E170" s="99" t="s">
        <v>271</v>
      </c>
      <c r="F170" s="81" t="str">
        <f t="shared" si="21"/>
        <v>DES_PAL_PIC</v>
      </c>
      <c r="G170" s="143">
        <f>VLOOKUP(F170,Volumenes!$D$20:$F$184,3,FALSE)</f>
        <v>16.0596</v>
      </c>
      <c r="H170" s="97"/>
      <c r="I170" s="98">
        <f>10/60</f>
        <v>0.16666666666666666</v>
      </c>
      <c r="J170" s="110">
        <f>+I170*(1+Tiempos!$C$17)</f>
        <v>0.17541666666666667</v>
      </c>
      <c r="K170" s="123">
        <f t="shared" si="20"/>
        <v>2.8171214999999998</v>
      </c>
      <c r="L170" s="98">
        <f>+K170/Tiempos!$B$11</f>
        <v>6.1241771739130434E-3</v>
      </c>
      <c r="M170" s="238"/>
      <c r="N170" s="238"/>
      <c r="O170" s="238"/>
      <c r="P170" s="238"/>
      <c r="Q170" s="261">
        <f>IF($D170=Tiempos!$A$35,"",IF($B170=Tiempos!$A$36,L170,L170/2))</f>
        <v>3.0620885869565217E-3</v>
      </c>
    </row>
    <row r="171" spans="1:17" x14ac:dyDescent="0.35">
      <c r="A171" s="81"/>
      <c r="B171" s="81">
        <v>2</v>
      </c>
      <c r="C171" s="83">
        <v>1</v>
      </c>
      <c r="D171" s="83" t="s">
        <v>334</v>
      </c>
      <c r="E171" s="99" t="s">
        <v>272</v>
      </c>
      <c r="F171" s="81" t="str">
        <f t="shared" si="21"/>
        <v>DES_PAL_PIC</v>
      </c>
      <c r="G171" s="143">
        <f>VLOOKUP(F171,Volumenes!$D$20:$F$184,3,FALSE)</f>
        <v>16.0596</v>
      </c>
      <c r="H171" s="97"/>
      <c r="I171" s="98">
        <f>5/60</f>
        <v>8.3333333333333329E-2</v>
      </c>
      <c r="J171" s="110">
        <f>+I171*(1+Tiempos!$C$17)</f>
        <v>8.7708333333333333E-2</v>
      </c>
      <c r="K171" s="123">
        <f t="shared" si="20"/>
        <v>1.4085607499999999</v>
      </c>
      <c r="L171" s="98">
        <f>+K171/Tiempos!$B$11</f>
        <v>3.0620885869565217E-3</v>
      </c>
      <c r="M171" s="238"/>
      <c r="N171" s="238"/>
      <c r="O171" s="238"/>
      <c r="P171" s="238"/>
      <c r="Q171" s="261">
        <f>IF($D171=Tiempos!$A$35,"",IF($B171=Tiempos!$A$36,L171,L171/2))</f>
        <v>1.5310442934782609E-3</v>
      </c>
    </row>
    <row r="172" spans="1:17" x14ac:dyDescent="0.35">
      <c r="A172" s="81"/>
      <c r="B172" s="81">
        <v>2</v>
      </c>
      <c r="C172" s="83">
        <v>1</v>
      </c>
      <c r="D172" s="83" t="s">
        <v>334</v>
      </c>
      <c r="E172" s="99" t="s">
        <v>273</v>
      </c>
      <c r="F172" s="81" t="str">
        <f t="shared" si="21"/>
        <v>DES_PAL_PIC</v>
      </c>
      <c r="G172" s="143">
        <f>VLOOKUP(F172,Volumenes!$D$20:$F$184,3,FALSE)</f>
        <v>16.0596</v>
      </c>
      <c r="H172" s="97"/>
      <c r="I172" s="98">
        <f>18/60</f>
        <v>0.3</v>
      </c>
      <c r="J172" s="110">
        <f>+I172*(1+Tiempos!$C$17)</f>
        <v>0.31574999999999998</v>
      </c>
      <c r="K172" s="123">
        <f t="shared" si="20"/>
        <v>5.0708186999999993</v>
      </c>
      <c r="L172" s="98">
        <f>+K172/Tiempos!$B$11</f>
        <v>1.1023518913043477E-2</v>
      </c>
      <c r="M172" s="238"/>
      <c r="N172" s="238"/>
      <c r="O172" s="238"/>
      <c r="P172" s="238"/>
      <c r="Q172" s="261">
        <f>IF($D172=Tiempos!$A$35,"",IF($B172=Tiempos!$A$36,L172,L172/2))</f>
        <v>5.5117594565217386E-3</v>
      </c>
    </row>
    <row r="173" spans="1:17" x14ac:dyDescent="0.35">
      <c r="A173" s="81"/>
      <c r="B173" s="81">
        <v>2</v>
      </c>
      <c r="C173" s="83">
        <v>1</v>
      </c>
      <c r="D173" s="83" t="s">
        <v>334</v>
      </c>
      <c r="E173" s="99" t="s">
        <v>267</v>
      </c>
      <c r="F173" s="81" t="str">
        <f t="shared" si="21"/>
        <v>DES_PAL_PIC</v>
      </c>
      <c r="G173" s="143">
        <f>VLOOKUP(F173,Volumenes!$D$20:$F$184,3,FALSE)</f>
        <v>16.0596</v>
      </c>
      <c r="H173" s="97"/>
      <c r="I173" s="98">
        <f>5/60</f>
        <v>8.3333333333333329E-2</v>
      </c>
      <c r="J173" s="110">
        <f>+I173*(1+Tiempos!$C$17)</f>
        <v>8.7708333333333333E-2</v>
      </c>
      <c r="K173" s="123">
        <f t="shared" si="20"/>
        <v>1.4085607499999999</v>
      </c>
      <c r="L173" s="98">
        <f>+K173/Tiempos!$B$11</f>
        <v>3.0620885869565217E-3</v>
      </c>
      <c r="M173" s="238"/>
      <c r="N173" s="238"/>
      <c r="O173" s="238"/>
      <c r="P173" s="238"/>
      <c r="Q173" s="261">
        <f>IF($D173=Tiempos!$A$35,"",IF($B173=Tiempos!$A$36,L173,L173/2))</f>
        <v>1.5310442934782609E-3</v>
      </c>
    </row>
    <row r="174" spans="1:17" x14ac:dyDescent="0.35">
      <c r="A174" s="81"/>
      <c r="B174" s="81">
        <v>2</v>
      </c>
      <c r="C174" s="83">
        <v>1</v>
      </c>
      <c r="D174" s="83" t="s">
        <v>334</v>
      </c>
      <c r="E174" s="99" t="s">
        <v>287</v>
      </c>
      <c r="F174" s="81" t="str">
        <f t="shared" si="21"/>
        <v>DES_PAL_PIC</v>
      </c>
      <c r="G174" s="143">
        <f>VLOOKUP(F174,Volumenes!$D$20:$F$184,3,FALSE)</f>
        <v>16.0596</v>
      </c>
      <c r="H174" s="97"/>
      <c r="I174" s="98">
        <f>18/60</f>
        <v>0.3</v>
      </c>
      <c r="J174" s="110">
        <f>+I174*(1+Tiempos!$C$17)</f>
        <v>0.31574999999999998</v>
      </c>
      <c r="K174" s="123">
        <f t="shared" si="20"/>
        <v>5.0708186999999993</v>
      </c>
      <c r="L174" s="98">
        <f>+K174/Tiempos!$B$11</f>
        <v>1.1023518913043477E-2</v>
      </c>
      <c r="M174" s="238"/>
      <c r="N174" s="238"/>
      <c r="O174" s="238"/>
      <c r="P174" s="238"/>
      <c r="Q174" s="261">
        <f>IF($D174=Tiempos!$A$35,"",IF($B174=Tiempos!$A$36,L174,L174/2))</f>
        <v>5.5117594565217386E-3</v>
      </c>
    </row>
    <row r="175" spans="1:17" x14ac:dyDescent="0.35">
      <c r="A175" s="92"/>
      <c r="B175" s="92">
        <v>2</v>
      </c>
      <c r="C175" s="100">
        <v>1</v>
      </c>
      <c r="D175" s="100" t="s">
        <v>334</v>
      </c>
      <c r="E175" s="101" t="s">
        <v>269</v>
      </c>
      <c r="F175" s="92" t="str">
        <f t="shared" si="21"/>
        <v>DES_PAL_PIC</v>
      </c>
      <c r="G175" s="144">
        <f>VLOOKUP(F175,Volumenes!$D$20:$F$184,3,FALSE)</f>
        <v>16.0596</v>
      </c>
      <c r="H175" s="102">
        <f>+Tiempos!E78</f>
        <v>120</v>
      </c>
      <c r="I175" s="103">
        <f>+Tiempos!F78</f>
        <v>1.0256410256410258</v>
      </c>
      <c r="J175" s="111">
        <f>+I175*(1+Tiempos!$C$17)</f>
        <v>1.0794871794871796</v>
      </c>
      <c r="K175" s="146">
        <f>+J175*G175</f>
        <v>17.33613230769231</v>
      </c>
      <c r="L175" s="103">
        <f>+K175/Tiempos!$B$11</f>
        <v>3.7687244147157198E-2</v>
      </c>
      <c r="M175" s="243"/>
      <c r="N175" s="243"/>
      <c r="O175" s="243"/>
      <c r="P175" s="243"/>
      <c r="Q175" s="262">
        <f>IF($D175=Tiempos!$A$35,"",IF($B175=Tiempos!$A$36,L175,L175/2))</f>
        <v>1.8843622073578599E-2</v>
      </c>
    </row>
    <row r="176" spans="1:17" x14ac:dyDescent="0.35">
      <c r="A176" s="75"/>
      <c r="B176" s="75"/>
      <c r="E176" s="104"/>
      <c r="F176" s="75"/>
      <c r="G176" s="152"/>
      <c r="H176" s="105"/>
      <c r="I176" s="109"/>
      <c r="J176" s="107"/>
      <c r="K176" s="162"/>
      <c r="L176" s="98">
        <f>SUM(L165:L175)</f>
        <v>0.118542085861204</v>
      </c>
      <c r="M176" s="98"/>
      <c r="N176" s="98"/>
      <c r="O176" s="98"/>
      <c r="P176" s="98"/>
      <c r="Q176" s="98">
        <f>SUM(Q165:Q175)</f>
        <v>5.9271042930602001E-2</v>
      </c>
    </row>
    <row r="177" spans="1:17" x14ac:dyDescent="0.35">
      <c r="A177" s="75"/>
      <c r="B177" s="75"/>
      <c r="E177" s="104"/>
      <c r="F177" s="75"/>
      <c r="G177" s="152"/>
      <c r="H177" s="109"/>
      <c r="J177" s="107"/>
      <c r="K177" s="162"/>
      <c r="L177" s="109"/>
      <c r="M177" s="109"/>
      <c r="N177" s="109"/>
      <c r="O177" s="109"/>
      <c r="P177" s="109"/>
      <c r="Q177" s="109"/>
    </row>
    <row r="178" spans="1:17" ht="13.15" x14ac:dyDescent="0.35">
      <c r="A178" s="205" t="s">
        <v>1092</v>
      </c>
      <c r="B178" s="205"/>
      <c r="C178" s="70"/>
      <c r="D178" s="70"/>
      <c r="E178" s="94"/>
      <c r="F178" s="80"/>
      <c r="G178" s="154"/>
      <c r="H178" s="80"/>
      <c r="I178" s="80"/>
      <c r="J178" s="80"/>
      <c r="K178" s="80"/>
      <c r="L178" s="80"/>
    </row>
    <row r="179" spans="1:17" x14ac:dyDescent="0.35">
      <c r="A179" s="92"/>
      <c r="B179" s="92">
        <v>2</v>
      </c>
      <c r="C179" s="100">
        <v>1</v>
      </c>
      <c r="D179" s="100" t="s">
        <v>69</v>
      </c>
      <c r="E179" s="101" t="s">
        <v>498</v>
      </c>
      <c r="F179" s="92" t="str">
        <f>+Volumenes!D102</f>
        <v>VIA_DES</v>
      </c>
      <c r="G179" s="144">
        <f>VLOOKUP(F179,Volumenes!$D$20:$F$184,3,FALSE)</f>
        <v>6</v>
      </c>
      <c r="H179" s="102">
        <f>VLOOKUP(F179,Tiempos!$D$42:$F$113,2,FALSE)*2</f>
        <v>116</v>
      </c>
      <c r="I179" s="103">
        <f>+(H179/Tiempos!$B$28)/60</f>
        <v>1.3134057971014492</v>
      </c>
      <c r="J179" s="111">
        <f>+I179*(1+Tiempos!$C$17)</f>
        <v>1.3823596014492754</v>
      </c>
      <c r="K179" s="146">
        <f>+J179*G179</f>
        <v>8.2941576086956523</v>
      </c>
      <c r="L179" s="103">
        <f>+K179/Tiempos!$B$11</f>
        <v>1.8030777410207938E-2</v>
      </c>
      <c r="M179" s="243"/>
      <c r="N179" s="243"/>
      <c r="O179" s="243"/>
      <c r="P179" s="243"/>
      <c r="Q179" s="262">
        <f>+K179/Tiempos!$B$12</f>
        <v>9.0153887051039692E-3</v>
      </c>
    </row>
    <row r="180" spans="1:17" x14ac:dyDescent="0.35">
      <c r="A180" s="81"/>
      <c r="B180" s="81">
        <v>2</v>
      </c>
      <c r="C180" s="83">
        <v>1</v>
      </c>
      <c r="D180" s="83" t="s">
        <v>69</v>
      </c>
      <c r="E180" s="99" t="s">
        <v>497</v>
      </c>
      <c r="F180" s="81" t="str">
        <f>+Volumenes!D102</f>
        <v>VIA_DES</v>
      </c>
      <c r="G180" s="143">
        <f>VLOOKUP(F180,Volumenes!$D$20:$F$184,3,FALSE)</f>
        <v>6</v>
      </c>
      <c r="H180" s="97"/>
      <c r="I180" s="98">
        <f>10/60</f>
        <v>0.16666666666666666</v>
      </c>
      <c r="J180" s="110">
        <f>+I180*(1+Tiempos!$C$17)</f>
        <v>0.17541666666666667</v>
      </c>
      <c r="K180" s="123">
        <f>+J180*G180</f>
        <v>1.0525</v>
      </c>
      <c r="L180" s="98">
        <f>+K180/Tiempos!$B$11</f>
        <v>2.2880434782608697E-3</v>
      </c>
      <c r="M180" s="238"/>
      <c r="N180" s="238"/>
      <c r="O180" s="238"/>
      <c r="P180" s="238"/>
      <c r="Q180" s="261">
        <f>+K180/Tiempos!$B$12</f>
        <v>1.1440217391304349E-3</v>
      </c>
    </row>
    <row r="181" spans="1:17" x14ac:dyDescent="0.35">
      <c r="A181" s="81"/>
      <c r="B181" s="81">
        <v>2</v>
      </c>
      <c r="C181" s="83">
        <v>1</v>
      </c>
      <c r="D181" s="83" t="s">
        <v>69</v>
      </c>
      <c r="E181" s="99" t="s">
        <v>499</v>
      </c>
      <c r="F181" s="81" t="str">
        <f>+F180</f>
        <v>VIA_DES</v>
      </c>
      <c r="G181" s="143">
        <f>VLOOKUP(F181,Volumenes!$D$20:$F$184,3,FALSE)</f>
        <v>6</v>
      </c>
      <c r="H181" s="97"/>
      <c r="I181" s="98">
        <f>15/60</f>
        <v>0.25</v>
      </c>
      <c r="J181" s="110">
        <f>+I181*(1+Tiempos!$C$17)</f>
        <v>0.263125</v>
      </c>
      <c r="K181" s="123">
        <f t="shared" ref="K181:K193" si="22">+J181*G181</f>
        <v>1.5787499999999999</v>
      </c>
      <c r="L181" s="98">
        <f>+K181/Tiempos!$B$11</f>
        <v>3.4320652173913039E-3</v>
      </c>
      <c r="M181" s="238"/>
      <c r="N181" s="238"/>
      <c r="O181" s="238"/>
      <c r="P181" s="238"/>
      <c r="Q181" s="261">
        <f>+K181/Tiempos!$B$12</f>
        <v>1.716032608695652E-3</v>
      </c>
    </row>
    <row r="182" spans="1:17" x14ac:dyDescent="0.35">
      <c r="A182" s="92"/>
      <c r="B182" s="92">
        <v>2</v>
      </c>
      <c r="C182" s="100">
        <v>1</v>
      </c>
      <c r="D182" s="100" t="s">
        <v>69</v>
      </c>
      <c r="E182" s="101" t="s">
        <v>500</v>
      </c>
      <c r="F182" s="92" t="str">
        <f>+Volumenes!D98</f>
        <v>CAJ_DES</v>
      </c>
      <c r="G182" s="144">
        <f>VLOOKUP(F182,Volumenes!$D$20:$F$184,3,FALSE)</f>
        <v>148.69999999999999</v>
      </c>
      <c r="H182" s="102">
        <f>VLOOKUP(F182,Tiempos!$D$42:$F$113,2,FALSE)</f>
        <v>50</v>
      </c>
      <c r="I182" s="103">
        <f>+(H182/Tiempos!$B$28)/60</f>
        <v>0.56612318840579712</v>
      </c>
      <c r="J182" s="111">
        <f>+I182*(1+Tiempos!$C$17)</f>
        <v>0.59584465579710144</v>
      </c>
      <c r="K182" s="146">
        <f t="shared" si="22"/>
        <v>88.602100317028984</v>
      </c>
      <c r="L182" s="103">
        <f>+K182/Tiempos!$B$11</f>
        <v>0.19261326155875866</v>
      </c>
      <c r="M182" s="243"/>
      <c r="N182" s="243"/>
      <c r="O182" s="243"/>
      <c r="P182" s="243"/>
      <c r="Q182" s="262">
        <f>+K182/Tiempos!$B$12</f>
        <v>9.6306630779379329E-2</v>
      </c>
    </row>
    <row r="183" spans="1:17" x14ac:dyDescent="0.35">
      <c r="A183" s="81"/>
      <c r="B183" s="81">
        <v>2</v>
      </c>
      <c r="C183" s="83">
        <v>1</v>
      </c>
      <c r="D183" s="83" t="s">
        <v>69</v>
      </c>
      <c r="E183" s="99" t="s">
        <v>501</v>
      </c>
      <c r="F183" s="81" t="str">
        <f>+Volumenes!D101</f>
        <v>CAJ_DES_AIRE</v>
      </c>
      <c r="G183" s="143">
        <f>VLOOKUP(F183,Volumenes!$D$20:$F$184,3,FALSE)</f>
        <v>84.46159999999999</v>
      </c>
      <c r="H183" s="97"/>
      <c r="I183" s="98">
        <f>15/60</f>
        <v>0.25</v>
      </c>
      <c r="J183" s="110">
        <f>+I183*(1+Tiempos!$C$17)</f>
        <v>0.263125</v>
      </c>
      <c r="K183" s="123">
        <f t="shared" si="22"/>
        <v>22.223958499999998</v>
      </c>
      <c r="L183" s="98">
        <f>+K183/Tiempos!$B$11</f>
        <v>4.8312953260869561E-2</v>
      </c>
      <c r="M183" s="238"/>
      <c r="N183" s="238"/>
      <c r="O183" s="238"/>
      <c r="P183" s="238"/>
      <c r="Q183" s="261">
        <f>+K183/Tiempos!$B$12</f>
        <v>2.415647663043478E-2</v>
      </c>
    </row>
    <row r="184" spans="1:17" x14ac:dyDescent="0.35">
      <c r="A184" s="81"/>
      <c r="B184" s="81">
        <v>2</v>
      </c>
      <c r="C184" s="83">
        <v>1</v>
      </c>
      <c r="D184" s="83" t="s">
        <v>69</v>
      </c>
      <c r="E184" s="99" t="s">
        <v>502</v>
      </c>
      <c r="F184" s="81" t="str">
        <f>+F183</f>
        <v>CAJ_DES_AIRE</v>
      </c>
      <c r="G184" s="143">
        <f>VLOOKUP(F184,Volumenes!$D$20:$F$184,3,FALSE)</f>
        <v>84.46159999999999</v>
      </c>
      <c r="H184" s="97"/>
      <c r="I184" s="98">
        <f>30/60</f>
        <v>0.5</v>
      </c>
      <c r="J184" s="110">
        <f>+I184*(1+Tiempos!$C$17)</f>
        <v>0.52625</v>
      </c>
      <c r="K184" s="123">
        <f t="shared" si="22"/>
        <v>44.447916999999997</v>
      </c>
      <c r="L184" s="98">
        <f>+K184/Tiempos!$B$11</f>
        <v>9.6625906521739122E-2</v>
      </c>
      <c r="M184" s="238"/>
      <c r="N184" s="238"/>
      <c r="O184" s="238"/>
      <c r="P184" s="238"/>
      <c r="Q184" s="261">
        <f>+K184/Tiempos!$B$12</f>
        <v>4.8312953260869561E-2</v>
      </c>
    </row>
    <row r="185" spans="1:17" x14ac:dyDescent="0.35">
      <c r="A185" s="81"/>
      <c r="B185" s="81">
        <v>2</v>
      </c>
      <c r="C185" s="83">
        <v>1</v>
      </c>
      <c r="D185" s="83" t="s">
        <v>69</v>
      </c>
      <c r="E185" s="99" t="s">
        <v>503</v>
      </c>
      <c r="F185" s="81" t="str">
        <f>+F184</f>
        <v>CAJ_DES_AIRE</v>
      </c>
      <c r="G185" s="143">
        <f>VLOOKUP(F185,Volumenes!$D$20:$F$184,3,FALSE)</f>
        <v>84.46159999999999</v>
      </c>
      <c r="H185" s="97"/>
      <c r="I185" s="98">
        <f>18/60</f>
        <v>0.3</v>
      </c>
      <c r="J185" s="110">
        <f>+I185*(1+Tiempos!$C$17)</f>
        <v>0.31574999999999998</v>
      </c>
      <c r="K185" s="123">
        <f t="shared" ref="K185:K191" si="23">+J185*G185</f>
        <v>26.668750199999995</v>
      </c>
      <c r="L185" s="98">
        <f>+K185/Tiempos!$B$11</f>
        <v>5.7975543913043465E-2</v>
      </c>
      <c r="M185" s="238"/>
      <c r="N185" s="238"/>
      <c r="O185" s="238"/>
      <c r="P185" s="238"/>
      <c r="Q185" s="261">
        <f>+K185/Tiempos!$B$12</f>
        <v>2.8987771956521732E-2</v>
      </c>
    </row>
    <row r="186" spans="1:17" x14ac:dyDescent="0.35">
      <c r="A186" s="81"/>
      <c r="B186" s="81">
        <v>2</v>
      </c>
      <c r="C186" s="83">
        <v>1</v>
      </c>
      <c r="D186" s="83" t="s">
        <v>69</v>
      </c>
      <c r="E186" s="99" t="s">
        <v>505</v>
      </c>
      <c r="F186" s="81" t="str">
        <f>+F185</f>
        <v>CAJ_DES_AIRE</v>
      </c>
      <c r="G186" s="143">
        <f>VLOOKUP(F186,Volumenes!$D$20:$F$184,3,FALSE)</f>
        <v>84.46159999999999</v>
      </c>
      <c r="H186" s="97"/>
      <c r="I186" s="98">
        <f>10/60</f>
        <v>0.16666666666666666</v>
      </c>
      <c r="J186" s="110">
        <f>+I186*(1+Tiempos!$C$17)</f>
        <v>0.17541666666666667</v>
      </c>
      <c r="K186" s="123">
        <f t="shared" si="23"/>
        <v>14.815972333333331</v>
      </c>
      <c r="L186" s="98">
        <f>+K186/Tiempos!$B$11</f>
        <v>3.2208635507246369E-2</v>
      </c>
      <c r="M186" s="238"/>
      <c r="N186" s="238"/>
      <c r="O186" s="238"/>
      <c r="P186" s="238"/>
      <c r="Q186" s="261">
        <f>+K186/Tiempos!$B$12</f>
        <v>1.6104317753623185E-2</v>
      </c>
    </row>
    <row r="187" spans="1:17" x14ac:dyDescent="0.35">
      <c r="A187" s="81"/>
      <c r="B187" s="81">
        <v>2</v>
      </c>
      <c r="C187" s="83">
        <v>1</v>
      </c>
      <c r="D187" s="83" t="s">
        <v>69</v>
      </c>
      <c r="E187" s="99" t="s">
        <v>504</v>
      </c>
      <c r="F187" s="81" t="str">
        <f>+F186</f>
        <v>CAJ_DES_AIRE</v>
      </c>
      <c r="G187" s="143">
        <f>VLOOKUP(F187,Volumenes!$D$20:$F$184,3,FALSE)</f>
        <v>84.46159999999999</v>
      </c>
      <c r="H187" s="97"/>
      <c r="I187" s="98">
        <f>40/60</f>
        <v>0.66666666666666663</v>
      </c>
      <c r="J187" s="110">
        <f>+I187*(1+Tiempos!$C$17)</f>
        <v>0.70166666666666666</v>
      </c>
      <c r="K187" s="123">
        <f t="shared" si="23"/>
        <v>59.263889333333324</v>
      </c>
      <c r="L187" s="98">
        <f>+K187/Tiempos!$B$11</f>
        <v>0.12883454202898548</v>
      </c>
      <c r="M187" s="238"/>
      <c r="N187" s="238"/>
      <c r="O187" s="238"/>
      <c r="P187" s="238"/>
      <c r="Q187" s="261">
        <f>+K187/Tiempos!$B$12</f>
        <v>6.4417271014492739E-2</v>
      </c>
    </row>
    <row r="188" spans="1:17" x14ac:dyDescent="0.35">
      <c r="A188" s="81"/>
      <c r="B188" s="81">
        <v>2</v>
      </c>
      <c r="C188" s="83">
        <v>1</v>
      </c>
      <c r="D188" s="83" t="s">
        <v>69</v>
      </c>
      <c r="E188" s="99" t="s">
        <v>506</v>
      </c>
      <c r="F188" s="81" t="str">
        <f>+F187</f>
        <v>CAJ_DES_AIRE</v>
      </c>
      <c r="G188" s="143">
        <f>VLOOKUP(F188,Volumenes!$D$20:$F$184,3,FALSE)</f>
        <v>84.46159999999999</v>
      </c>
      <c r="H188" s="97"/>
      <c r="I188" s="98">
        <f>15/60</f>
        <v>0.25</v>
      </c>
      <c r="J188" s="110">
        <f>+I188*(1+Tiempos!$C$17)</f>
        <v>0.263125</v>
      </c>
      <c r="K188" s="123">
        <f t="shared" si="23"/>
        <v>22.223958499999998</v>
      </c>
      <c r="L188" s="98">
        <f>+K188/Tiempos!$B$11</f>
        <v>4.8312953260869561E-2</v>
      </c>
      <c r="M188" s="238"/>
      <c r="N188" s="238"/>
      <c r="O188" s="238"/>
      <c r="P188" s="238"/>
      <c r="Q188" s="261">
        <f>+K188/Tiempos!$B$12</f>
        <v>2.415647663043478E-2</v>
      </c>
    </row>
    <row r="189" spans="1:17" x14ac:dyDescent="0.35">
      <c r="A189" s="81"/>
      <c r="B189" s="81">
        <v>2</v>
      </c>
      <c r="C189" s="83">
        <v>1</v>
      </c>
      <c r="D189" s="83" t="s">
        <v>69</v>
      </c>
      <c r="E189" s="99" t="s">
        <v>507</v>
      </c>
      <c r="F189" s="81" t="str">
        <f>+Volumenes!D100</f>
        <v>CAJ_DES_PICK</v>
      </c>
      <c r="G189" s="143">
        <f>VLOOKUP(F189,Volumenes!$D$20:$F$184,3,FALSE)</f>
        <v>64.238399999999999</v>
      </c>
      <c r="H189" s="97"/>
      <c r="I189" s="98">
        <f>18/60</f>
        <v>0.3</v>
      </c>
      <c r="J189" s="110">
        <f>+I189*(1+Tiempos!$C$17)</f>
        <v>0.31574999999999998</v>
      </c>
      <c r="K189" s="123">
        <f t="shared" si="23"/>
        <v>20.283274799999997</v>
      </c>
      <c r="L189" s="98">
        <f>+K189/Tiempos!$B$11</f>
        <v>4.4094075652173909E-2</v>
      </c>
      <c r="M189" s="238"/>
      <c r="N189" s="238"/>
      <c r="O189" s="238"/>
      <c r="P189" s="238"/>
      <c r="Q189" s="261">
        <f>+K189/Tiempos!$B$12</f>
        <v>2.2047037826086954E-2</v>
      </c>
    </row>
    <row r="190" spans="1:17" x14ac:dyDescent="0.35">
      <c r="A190" s="81"/>
      <c r="B190" s="81">
        <v>2</v>
      </c>
      <c r="C190" s="83">
        <v>1</v>
      </c>
      <c r="D190" s="83" t="s">
        <v>69</v>
      </c>
      <c r="E190" s="99" t="s">
        <v>508</v>
      </c>
      <c r="F190" s="81" t="str">
        <f>+F189</f>
        <v>CAJ_DES_PICK</v>
      </c>
      <c r="G190" s="143">
        <f>VLOOKUP(F190,Volumenes!$D$20:$F$184,3,FALSE)</f>
        <v>64.238399999999999</v>
      </c>
      <c r="H190" s="97"/>
      <c r="I190" s="98">
        <f>10/60</f>
        <v>0.16666666666666666</v>
      </c>
      <c r="J190" s="110">
        <f>+I190*(1+Tiempos!$C$17)</f>
        <v>0.17541666666666667</v>
      </c>
      <c r="K190" s="123">
        <f t="shared" si="23"/>
        <v>11.268485999999999</v>
      </c>
      <c r="L190" s="98">
        <f>+K190/Tiempos!$B$11</f>
        <v>2.4496708695652174E-2</v>
      </c>
      <c r="M190" s="238"/>
      <c r="N190" s="238"/>
      <c r="O190" s="238"/>
      <c r="P190" s="238"/>
      <c r="Q190" s="261">
        <f>+K190/Tiempos!$B$12</f>
        <v>1.2248354347826087E-2</v>
      </c>
    </row>
    <row r="191" spans="1:17" x14ac:dyDescent="0.35">
      <c r="A191" s="81"/>
      <c r="B191" s="81">
        <v>2</v>
      </c>
      <c r="C191" s="83">
        <v>1</v>
      </c>
      <c r="D191" s="83" t="s">
        <v>69</v>
      </c>
      <c r="E191" s="99" t="s">
        <v>506</v>
      </c>
      <c r="F191" s="81" t="str">
        <f>+F190</f>
        <v>CAJ_DES_PICK</v>
      </c>
      <c r="G191" s="143">
        <f>VLOOKUP(F191,Volumenes!$D$20:$F$184,3,FALSE)</f>
        <v>64.238399999999999</v>
      </c>
      <c r="H191" s="97"/>
      <c r="I191" s="98">
        <f>10/60</f>
        <v>0.16666666666666666</v>
      </c>
      <c r="J191" s="110">
        <f>+I191*(1+Tiempos!$C$17)</f>
        <v>0.17541666666666667</v>
      </c>
      <c r="K191" s="123">
        <f t="shared" si="23"/>
        <v>11.268485999999999</v>
      </c>
      <c r="L191" s="98">
        <f>+K191/Tiempos!$B$11</f>
        <v>2.4496708695652174E-2</v>
      </c>
      <c r="M191" s="238"/>
      <c r="N191" s="238"/>
      <c r="O191" s="238"/>
      <c r="P191" s="238"/>
      <c r="Q191" s="261">
        <f>+K191/Tiempos!$B$12</f>
        <v>1.2248354347826087E-2</v>
      </c>
    </row>
    <row r="192" spans="1:17" x14ac:dyDescent="0.35">
      <c r="A192" s="92"/>
      <c r="B192" s="92">
        <v>2</v>
      </c>
      <c r="C192" s="100">
        <v>1</v>
      </c>
      <c r="D192" s="100" t="s">
        <v>69</v>
      </c>
      <c r="E192" s="101" t="s">
        <v>510</v>
      </c>
      <c r="F192" s="92" t="str">
        <f>+Volumenes!D102</f>
        <v>VIA_DES</v>
      </c>
      <c r="G192" s="144">
        <f>VLOOKUP(F192,Volumenes!$D$20:$F$184,3,FALSE)</f>
        <v>6</v>
      </c>
      <c r="H192" s="102">
        <f>VLOOKUP(F192,Tiempos!$D$42:$F$113,2,FALSE)*2</f>
        <v>116</v>
      </c>
      <c r="I192" s="103">
        <f>+(H192/Tiempos!$B$28)/60</f>
        <v>1.3134057971014492</v>
      </c>
      <c r="J192" s="111">
        <f>+I192*(1+Tiempos!$C$17)</f>
        <v>1.3823596014492754</v>
      </c>
      <c r="K192" s="146">
        <f t="shared" si="22"/>
        <v>8.2941576086956523</v>
      </c>
      <c r="L192" s="103">
        <f>+K192/Tiempos!$B$11</f>
        <v>1.8030777410207938E-2</v>
      </c>
      <c r="M192" s="243"/>
      <c r="N192" s="243"/>
      <c r="O192" s="243"/>
      <c r="P192" s="243"/>
      <c r="Q192" s="262">
        <f>+K192/Tiempos!$B$12</f>
        <v>9.0153887051039692E-3</v>
      </c>
    </row>
    <row r="193" spans="1:17" x14ac:dyDescent="0.35">
      <c r="A193" s="81"/>
      <c r="B193" s="81">
        <v>2</v>
      </c>
      <c r="C193" s="83">
        <v>1</v>
      </c>
      <c r="D193" s="83" t="s">
        <v>69</v>
      </c>
      <c r="E193" s="99" t="s">
        <v>509</v>
      </c>
      <c r="F193" s="81" t="str">
        <f>+F192</f>
        <v>VIA_DES</v>
      </c>
      <c r="G193" s="143">
        <f>VLOOKUP(F193,Volumenes!$D$20:$F$184,3,FALSE)</f>
        <v>6</v>
      </c>
      <c r="H193" s="97"/>
      <c r="I193" s="98">
        <f>15/60</f>
        <v>0.25</v>
      </c>
      <c r="J193" s="110">
        <f>+I193*(1+Tiempos!$C$17)</f>
        <v>0.263125</v>
      </c>
      <c r="K193" s="123">
        <f t="shared" si="22"/>
        <v>1.5787499999999999</v>
      </c>
      <c r="L193" s="98">
        <f>+K193/Tiempos!$B$11</f>
        <v>3.4320652173913039E-3</v>
      </c>
      <c r="M193" s="238"/>
      <c r="N193" s="238"/>
      <c r="O193" s="238"/>
      <c r="P193" s="238"/>
      <c r="Q193" s="261">
        <f>+K193/Tiempos!$B$12</f>
        <v>1.716032608695652E-3</v>
      </c>
    </row>
    <row r="194" spans="1:17" x14ac:dyDescent="0.35">
      <c r="A194" s="81"/>
      <c r="B194" s="81">
        <v>2</v>
      </c>
      <c r="C194" s="83">
        <v>1</v>
      </c>
      <c r="D194" s="83" t="s">
        <v>69</v>
      </c>
      <c r="E194" s="99" t="s">
        <v>864</v>
      </c>
      <c r="F194" s="391" t="str">
        <f>+Volumenes!D209</f>
        <v>CAJ_SAT_1</v>
      </c>
      <c r="G194" s="143">
        <f>VLOOKUP(F194,Volumenes!$D$20:$F$237,3,FALSE)</f>
        <v>3</v>
      </c>
      <c r="H194" s="97"/>
      <c r="I194" s="98">
        <f>15/60</f>
        <v>0.25</v>
      </c>
      <c r="J194" s="110">
        <f>+I194*(1+Tiempos!$C$17)</f>
        <v>0.263125</v>
      </c>
      <c r="K194" s="123">
        <f t="shared" ref="K194" si="24">+J194*G194</f>
        <v>0.78937499999999994</v>
      </c>
      <c r="L194" s="98">
        <f>+K194/Tiempos!$B$11</f>
        <v>1.716032608695652E-3</v>
      </c>
      <c r="M194" s="238"/>
      <c r="N194" s="238"/>
      <c r="O194" s="238"/>
      <c r="P194" s="238"/>
      <c r="Q194" s="261">
        <f>+K194/Tiempos!$B$12</f>
        <v>8.5801630434782599E-4</v>
      </c>
    </row>
    <row r="195" spans="1:17" x14ac:dyDescent="0.35">
      <c r="A195" s="92"/>
      <c r="B195" s="92">
        <v>2</v>
      </c>
      <c r="C195" s="100">
        <v>1</v>
      </c>
      <c r="D195" s="100" t="s">
        <v>69</v>
      </c>
      <c r="E195" s="101" t="s">
        <v>865</v>
      </c>
      <c r="F195" s="92" t="str">
        <f>+F194</f>
        <v>CAJ_SAT_1</v>
      </c>
      <c r="G195" s="144">
        <f>VLOOKUP(F195,Volumenes!$D$20:$F$237,3,FALSE)</f>
        <v>3</v>
      </c>
      <c r="H195" s="102">
        <f>VLOOKUP(F195,Tiempos!$D$42:$F$183,2,FALSE)</f>
        <v>116</v>
      </c>
      <c r="I195" s="103">
        <f>+(H195/Tiempos!$B$28)/60</f>
        <v>1.3134057971014492</v>
      </c>
      <c r="J195" s="111">
        <f>+I195*(1+Tiempos!$C$17)</f>
        <v>1.3823596014492754</v>
      </c>
      <c r="K195" s="146">
        <f t="shared" ref="K195:K196" si="25">+J195*G195</f>
        <v>4.1470788043478262</v>
      </c>
      <c r="L195" s="103">
        <f>+K195/Tiempos!$B$11</f>
        <v>9.0153887051039692E-3</v>
      </c>
      <c r="M195" s="243"/>
      <c r="N195" s="243"/>
      <c r="O195" s="243"/>
      <c r="P195" s="243"/>
      <c r="Q195" s="262">
        <f>+K195/Tiempos!$B$12</f>
        <v>4.5076943525519846E-3</v>
      </c>
    </row>
    <row r="196" spans="1:17" x14ac:dyDescent="0.35">
      <c r="A196" s="81"/>
      <c r="B196" s="81">
        <v>2</v>
      </c>
      <c r="C196" s="83">
        <v>1</v>
      </c>
      <c r="D196" s="83" t="s">
        <v>69</v>
      </c>
      <c r="E196" s="99" t="s">
        <v>866</v>
      </c>
      <c r="F196" s="81" t="str">
        <f>+F195</f>
        <v>CAJ_SAT_1</v>
      </c>
      <c r="G196" s="143">
        <f>VLOOKUP(F196,Volumenes!$D$20:$F$237,3,FALSE)</f>
        <v>3</v>
      </c>
      <c r="H196" s="97"/>
      <c r="I196" s="98">
        <f>15/60</f>
        <v>0.25</v>
      </c>
      <c r="J196" s="110">
        <f>+I196*(1+Tiempos!$C$17)</f>
        <v>0.263125</v>
      </c>
      <c r="K196" s="123">
        <f t="shared" si="25"/>
        <v>0.78937499999999994</v>
      </c>
      <c r="L196" s="98">
        <f>+K196/Tiempos!$B$11</f>
        <v>1.716032608695652E-3</v>
      </c>
      <c r="M196" s="238"/>
      <c r="N196" s="238"/>
      <c r="O196" s="238"/>
      <c r="P196" s="238"/>
      <c r="Q196" s="261">
        <f>+K196/Tiempos!$B$12</f>
        <v>8.5801630434782599E-4</v>
      </c>
    </row>
    <row r="197" spans="1:17" x14ac:dyDescent="0.35">
      <c r="A197" s="75"/>
      <c r="B197" s="75"/>
      <c r="E197" s="104"/>
      <c r="F197" s="75"/>
      <c r="G197" s="152"/>
      <c r="H197" s="105"/>
      <c r="I197" s="109"/>
      <c r="J197" s="107"/>
      <c r="K197" s="162"/>
      <c r="L197" s="98">
        <f>SUM(L179:L196)</f>
        <v>0.75563247175094517</v>
      </c>
      <c r="M197" s="98">
        <f>SUM(M179:M193)</f>
        <v>0</v>
      </c>
      <c r="N197" s="98">
        <f>SUM(N179:N193)</f>
        <v>0</v>
      </c>
      <c r="O197" s="98"/>
      <c r="P197" s="98">
        <f>SUM(P179:P193)</f>
        <v>0</v>
      </c>
      <c r="Q197" s="98">
        <f>SUM(Q179:Q193)</f>
        <v>0.37159250891422491</v>
      </c>
    </row>
    <row r="198" spans="1:17" x14ac:dyDescent="0.35">
      <c r="A198" s="75"/>
      <c r="B198" s="75"/>
      <c r="E198" s="104"/>
      <c r="F198" s="75"/>
      <c r="G198" s="152"/>
      <c r="H198" s="105"/>
      <c r="I198" s="109"/>
      <c r="J198" s="107"/>
      <c r="K198" s="162"/>
      <c r="L198" s="109"/>
      <c r="M198" s="109"/>
      <c r="N198" s="109"/>
      <c r="O198" s="109"/>
      <c r="P198" s="109"/>
      <c r="Q198" s="109"/>
    </row>
    <row r="199" spans="1:17" ht="17.649999999999999" x14ac:dyDescent="0.35">
      <c r="A199" s="205" t="s">
        <v>1093</v>
      </c>
      <c r="B199" s="212"/>
      <c r="C199" s="70"/>
      <c r="D199" s="70"/>
      <c r="E199" s="94"/>
      <c r="F199" s="80"/>
      <c r="G199" s="80"/>
      <c r="H199" s="80"/>
      <c r="I199" s="80"/>
      <c r="J199" s="80"/>
      <c r="K199" s="80"/>
      <c r="L199" s="80"/>
    </row>
    <row r="200" spans="1:17" x14ac:dyDescent="0.35">
      <c r="A200" s="81"/>
      <c r="B200" s="81">
        <v>2</v>
      </c>
      <c r="C200" s="83">
        <v>1</v>
      </c>
      <c r="D200" s="83" t="s">
        <v>69</v>
      </c>
      <c r="E200" s="99" t="s">
        <v>526</v>
      </c>
      <c r="F200" s="81" t="str">
        <f>+Volumenes!D44</f>
        <v>CHA_TERM</v>
      </c>
      <c r="G200" s="123">
        <f>VLOOKUP(F200,Volumenes!$D$20:$F$184,3,FALSE)</f>
        <v>52.629386943915051</v>
      </c>
      <c r="H200" s="97"/>
      <c r="I200" s="98">
        <f>2/60</f>
        <v>3.3333333333333333E-2</v>
      </c>
      <c r="J200" s="110">
        <f>+I200*(1+Tiempos!$C$17)</f>
        <v>3.5083333333333334E-2</v>
      </c>
      <c r="K200" s="98">
        <f t="shared" ref="K200:K206" si="26">+J200*G200</f>
        <v>1.8464143252823531</v>
      </c>
      <c r="L200" s="98">
        <f>+K200/Tiempos!$B$11</f>
        <v>4.0139441853964198E-3</v>
      </c>
      <c r="M200" s="238"/>
      <c r="N200" s="238"/>
      <c r="O200" s="238"/>
      <c r="P200" s="238"/>
      <c r="Q200" s="261">
        <f>+K200/Tiempos!$B$12</f>
        <v>2.0069720926982099E-3</v>
      </c>
    </row>
    <row r="201" spans="1:17" x14ac:dyDescent="0.35">
      <c r="A201" s="92"/>
      <c r="B201" s="92">
        <v>2</v>
      </c>
      <c r="C201" s="100">
        <v>1</v>
      </c>
      <c r="D201" s="100" t="s">
        <v>69</v>
      </c>
      <c r="E201" s="101" t="s">
        <v>527</v>
      </c>
      <c r="F201" s="92" t="str">
        <f t="shared" ref="F201:F206" si="27">+F200</f>
        <v>CHA_TERM</v>
      </c>
      <c r="G201" s="146">
        <f>VLOOKUP(F201,Volumenes!$D$20:$F$184,3,FALSE)</f>
        <v>52.629386943915051</v>
      </c>
      <c r="H201" s="102">
        <f>+H182</f>
        <v>50</v>
      </c>
      <c r="I201" s="103">
        <f>+(H201/Tiempos!$B$28)/60</f>
        <v>0.56612318840579712</v>
      </c>
      <c r="J201" s="111">
        <f>+I201*(1+Tiempos!$C$17)</f>
        <v>0.59584465579710144</v>
      </c>
      <c r="K201" s="103">
        <f t="shared" si="26"/>
        <v>31.358938948409527</v>
      </c>
      <c r="L201" s="103">
        <f>+K201/Tiempos!$B$11</f>
        <v>6.817160640958593E-2</v>
      </c>
      <c r="M201" s="243"/>
      <c r="N201" s="243"/>
      <c r="O201" s="243"/>
      <c r="P201" s="243"/>
      <c r="Q201" s="262">
        <f>+K201/Tiempos!$B$12</f>
        <v>3.4085803204792965E-2</v>
      </c>
    </row>
    <row r="202" spans="1:17" x14ac:dyDescent="0.35">
      <c r="A202" s="81"/>
      <c r="B202" s="81">
        <v>2</v>
      </c>
      <c r="C202" s="83">
        <v>1</v>
      </c>
      <c r="D202" s="83" t="s">
        <v>69</v>
      </c>
      <c r="E202" s="99" t="s">
        <v>528</v>
      </c>
      <c r="F202" s="81" t="str">
        <f t="shared" si="27"/>
        <v>CHA_TERM</v>
      </c>
      <c r="G202" s="123">
        <f>VLOOKUP(F202,Volumenes!$D$20:$F$184,3,FALSE)</f>
        <v>52.629386943915051</v>
      </c>
      <c r="H202" s="97"/>
      <c r="I202" s="98">
        <f>23/60</f>
        <v>0.38333333333333336</v>
      </c>
      <c r="J202" s="110">
        <f>+I202*(1+Tiempos!$C$17)</f>
        <v>0.40345833333333336</v>
      </c>
      <c r="K202" s="98">
        <f t="shared" si="26"/>
        <v>21.233764740747063</v>
      </c>
      <c r="L202" s="98">
        <f>+K202/Tiempos!$B$11</f>
        <v>4.6160358132058835E-2</v>
      </c>
      <c r="M202" s="238"/>
      <c r="N202" s="238"/>
      <c r="O202" s="238"/>
      <c r="P202" s="238"/>
      <c r="Q202" s="261">
        <f>+K202/Tiempos!$B$12</f>
        <v>2.3080179066029417E-2</v>
      </c>
    </row>
    <row r="203" spans="1:17" x14ac:dyDescent="0.35">
      <c r="A203" s="81"/>
      <c r="B203" s="81">
        <v>2</v>
      </c>
      <c r="C203" s="83">
        <v>1</v>
      </c>
      <c r="D203" s="83" t="s">
        <v>69</v>
      </c>
      <c r="E203" s="99" t="s">
        <v>529</v>
      </c>
      <c r="F203" s="81" t="str">
        <f t="shared" si="27"/>
        <v>CHA_TERM</v>
      </c>
      <c r="G203" s="123">
        <f>VLOOKUP(F203,Volumenes!$D$20:$F$184,3,FALSE)</f>
        <v>52.629386943915051</v>
      </c>
      <c r="H203" s="97"/>
      <c r="I203" s="98">
        <f>3/60</f>
        <v>0.05</v>
      </c>
      <c r="J203" s="110">
        <f>+I203*(1+Tiempos!$C$17)</f>
        <v>5.2625000000000005E-2</v>
      </c>
      <c r="K203" s="98">
        <f t="shared" si="26"/>
        <v>2.7696214879235299</v>
      </c>
      <c r="L203" s="98">
        <f>+K203/Tiempos!$B$11</f>
        <v>6.0209162780946301E-3</v>
      </c>
      <c r="M203" s="238"/>
      <c r="N203" s="238"/>
      <c r="O203" s="238"/>
      <c r="P203" s="238"/>
      <c r="Q203" s="261">
        <f>+K203/Tiempos!$B$12</f>
        <v>3.010458139047315E-3</v>
      </c>
    </row>
    <row r="204" spans="1:17" x14ac:dyDescent="0.35">
      <c r="A204" s="92"/>
      <c r="B204" s="92">
        <v>2</v>
      </c>
      <c r="C204" s="100">
        <v>1</v>
      </c>
      <c r="D204" s="100" t="s">
        <v>69</v>
      </c>
      <c r="E204" s="101" t="s">
        <v>530</v>
      </c>
      <c r="F204" s="92" t="str">
        <f t="shared" si="27"/>
        <v>CHA_TERM</v>
      </c>
      <c r="G204" s="146">
        <f>VLOOKUP(F204,Volumenes!$D$20:$F$184,3,FALSE)</f>
        <v>52.629386943915051</v>
      </c>
      <c r="H204" s="102">
        <f>+Tiempos!E73</f>
        <v>58</v>
      </c>
      <c r="I204" s="103">
        <f>+(H204/Tiempos!$B$28)/60</f>
        <v>0.65670289855072461</v>
      </c>
      <c r="J204" s="111">
        <f>+I204*(1+Tiempos!$C$17)</f>
        <v>0.69117980072463769</v>
      </c>
      <c r="K204" s="103">
        <f t="shared" si="26"/>
        <v>36.376369180155052</v>
      </c>
      <c r="L204" s="103">
        <f>+K204/Tiempos!$B$11</f>
        <v>7.9079063435119681E-2</v>
      </c>
      <c r="M204" s="243"/>
      <c r="N204" s="243"/>
      <c r="O204" s="243"/>
      <c r="P204" s="243"/>
      <c r="Q204" s="262">
        <f>+K204/Tiempos!$B$12</f>
        <v>3.9539531717559841E-2</v>
      </c>
    </row>
    <row r="205" spans="1:17" x14ac:dyDescent="0.35">
      <c r="A205" s="81"/>
      <c r="B205" s="81">
        <v>2</v>
      </c>
      <c r="C205" s="83">
        <v>1</v>
      </c>
      <c r="D205" s="83" t="s">
        <v>69</v>
      </c>
      <c r="E205" s="99" t="s">
        <v>531</v>
      </c>
      <c r="F205" s="81" t="str">
        <f t="shared" si="27"/>
        <v>CHA_TERM</v>
      </c>
      <c r="G205" s="123">
        <f>VLOOKUP(F205,Volumenes!$D$20:$F$184,3,FALSE)</f>
        <v>52.629386943915051</v>
      </c>
      <c r="H205" s="97"/>
      <c r="I205" s="98">
        <f>20/60</f>
        <v>0.33333333333333331</v>
      </c>
      <c r="J205" s="110">
        <f>+I205*(1+Tiempos!$C$17)</f>
        <v>0.35083333333333333</v>
      </c>
      <c r="K205" s="98">
        <f t="shared" si="26"/>
        <v>18.464143252823529</v>
      </c>
      <c r="L205" s="98">
        <f>+K205/Tiempos!$B$11</f>
        <v>4.0139441853964196E-2</v>
      </c>
      <c r="M205" s="238"/>
      <c r="N205" s="238"/>
      <c r="O205" s="238"/>
      <c r="P205" s="238"/>
      <c r="Q205" s="261">
        <f>+K205/Tiempos!$B$12</f>
        <v>2.0069720926982098E-2</v>
      </c>
    </row>
    <row r="206" spans="1:17" x14ac:dyDescent="0.35">
      <c r="A206" s="92"/>
      <c r="B206" s="92">
        <v>2</v>
      </c>
      <c r="C206" s="100">
        <v>1</v>
      </c>
      <c r="D206" s="100" t="s">
        <v>69</v>
      </c>
      <c r="E206" s="101" t="s">
        <v>532</v>
      </c>
      <c r="F206" s="92" t="str">
        <f t="shared" si="27"/>
        <v>CHA_TERM</v>
      </c>
      <c r="G206" s="146">
        <f>VLOOKUP(F206,Volumenes!$D$20:$F$184,3,FALSE)</f>
        <v>52.629386943915051</v>
      </c>
      <c r="H206" s="102">
        <f>+H204</f>
        <v>58</v>
      </c>
      <c r="I206" s="103">
        <f>+(H206/Tiempos!$B$28)/60</f>
        <v>0.65670289855072461</v>
      </c>
      <c r="J206" s="111">
        <f>+I206*(1+Tiempos!$C$17)</f>
        <v>0.69117980072463769</v>
      </c>
      <c r="K206" s="103">
        <f t="shared" si="26"/>
        <v>36.376369180155052</v>
      </c>
      <c r="L206" s="103">
        <f>+K206/Tiempos!$B$11</f>
        <v>7.9079063435119681E-2</v>
      </c>
      <c r="M206" s="243"/>
      <c r="N206" s="243"/>
      <c r="O206" s="243"/>
      <c r="P206" s="243"/>
      <c r="Q206" s="262">
        <f>+K206/Tiempos!$B$12</f>
        <v>3.9539531717559841E-2</v>
      </c>
    </row>
    <row r="207" spans="1:17" ht="13.5" x14ac:dyDescent="0.35">
      <c r="K207" s="82" t="s">
        <v>40</v>
      </c>
      <c r="L207" s="86">
        <f>SUM(L200:L206)</f>
        <v>0.32266439372933942</v>
      </c>
      <c r="M207" s="238"/>
      <c r="N207" s="238"/>
      <c r="O207" s="238"/>
      <c r="P207" s="238"/>
      <c r="Q207" s="261">
        <f>SUM(Q200:Q206)</f>
        <v>0.16133219686466971</v>
      </c>
    </row>
    <row r="208" spans="1:17" x14ac:dyDescent="0.35">
      <c r="A208" s="75"/>
      <c r="B208" s="75"/>
      <c r="E208" s="104"/>
      <c r="F208" s="75"/>
      <c r="G208" s="152"/>
      <c r="H208" s="105"/>
      <c r="I208" s="109"/>
      <c r="J208" s="107"/>
      <c r="K208" s="162"/>
      <c r="L208" s="109"/>
      <c r="M208" s="109"/>
      <c r="N208" s="109"/>
      <c r="O208" s="109"/>
      <c r="P208" s="109"/>
      <c r="Q208" s="109"/>
    </row>
    <row r="209" spans="1:17" ht="17.649999999999999" x14ac:dyDescent="0.35">
      <c r="A209" s="205" t="s">
        <v>525</v>
      </c>
      <c r="B209" s="212"/>
      <c r="C209" s="70"/>
      <c r="D209" s="70"/>
      <c r="E209" s="94"/>
      <c r="F209" s="80"/>
      <c r="G209" s="80"/>
      <c r="H209" s="80"/>
      <c r="I209" s="80"/>
      <c r="J209" s="80"/>
      <c r="K209" s="80"/>
      <c r="L209" s="80"/>
    </row>
    <row r="210" spans="1:17" x14ac:dyDescent="0.35">
      <c r="A210" s="81"/>
      <c r="B210" s="81">
        <v>2</v>
      </c>
      <c r="C210" s="83">
        <v>1</v>
      </c>
      <c r="D210" s="83" t="s">
        <v>69</v>
      </c>
      <c r="E210" s="99" t="s">
        <v>541</v>
      </c>
      <c r="F210" s="81" t="str">
        <f>+Volumenes!D94</f>
        <v>CHI_ALM</v>
      </c>
      <c r="G210" s="123">
        <f>VLOOKUP(F210,Volumenes!$D$20:$F$184,3,FALSE)</f>
        <v>27.279999999999998</v>
      </c>
      <c r="H210" s="97"/>
      <c r="I210" s="98">
        <f>10/60</f>
        <v>0.16666666666666666</v>
      </c>
      <c r="J210" s="110">
        <f>+I210*(1+Tiempos!$C$17)</f>
        <v>0.17541666666666667</v>
      </c>
      <c r="K210" s="98">
        <f t="shared" ref="K210:K216" si="28">+J210*G210</f>
        <v>4.7853666666666665</v>
      </c>
      <c r="L210" s="98">
        <f>+K210/Tiempos!$B$11</f>
        <v>1.0402971014492753E-2</v>
      </c>
      <c r="M210" s="238"/>
      <c r="N210" s="238"/>
      <c r="O210" s="238"/>
      <c r="P210" s="238"/>
      <c r="Q210" s="261">
        <f>+K210/Tiempos!$B$12</f>
        <v>5.2014855072463765E-3</v>
      </c>
    </row>
    <row r="211" spans="1:17" x14ac:dyDescent="0.35">
      <c r="A211" s="92"/>
      <c r="B211" s="92">
        <v>2</v>
      </c>
      <c r="C211" s="100">
        <v>1</v>
      </c>
      <c r="D211" s="100" t="s">
        <v>69</v>
      </c>
      <c r="E211" s="101" t="s">
        <v>542</v>
      </c>
      <c r="F211" s="92" t="str">
        <f t="shared" ref="F211:F216" si="29">+F210</f>
        <v>CHI_ALM</v>
      </c>
      <c r="G211" s="146">
        <f>VLOOKUP(F211,Volumenes!$D$20:$F$184,3,FALSE)</f>
        <v>27.279999999999998</v>
      </c>
      <c r="H211" s="102">
        <f>+H201</f>
        <v>50</v>
      </c>
      <c r="I211" s="103">
        <f>+(H211/Tiempos!$B$28)/60</f>
        <v>0.56612318840579712</v>
      </c>
      <c r="J211" s="111">
        <f>+I211*(1+Tiempos!$C$17)</f>
        <v>0.59584465579710144</v>
      </c>
      <c r="K211" s="103">
        <f t="shared" si="28"/>
        <v>16.254642210144926</v>
      </c>
      <c r="L211" s="103">
        <f>+K211/Tiempos!$B$11</f>
        <v>3.5336178717706362E-2</v>
      </c>
      <c r="M211" s="243"/>
      <c r="N211" s="243"/>
      <c r="O211" s="243"/>
      <c r="P211" s="243"/>
      <c r="Q211" s="262">
        <f>+K211/Tiempos!$B$12</f>
        <v>1.7668089358853181E-2</v>
      </c>
    </row>
    <row r="212" spans="1:17" x14ac:dyDescent="0.35">
      <c r="A212" s="81"/>
      <c r="B212" s="81">
        <v>2</v>
      </c>
      <c r="C212" s="83">
        <v>1</v>
      </c>
      <c r="D212" s="83" t="s">
        <v>69</v>
      </c>
      <c r="E212" s="99" t="s">
        <v>543</v>
      </c>
      <c r="F212" s="81" t="str">
        <f t="shared" si="29"/>
        <v>CHI_ALM</v>
      </c>
      <c r="G212" s="123">
        <f>VLOOKUP(F212,Volumenes!$D$20:$F$184,3,FALSE)</f>
        <v>27.279999999999998</v>
      </c>
      <c r="H212" s="97"/>
      <c r="I212" s="98">
        <f>35/60</f>
        <v>0.58333333333333337</v>
      </c>
      <c r="J212" s="110">
        <f>+I212*(1+Tiempos!$C$17)</f>
        <v>0.61395833333333338</v>
      </c>
      <c r="K212" s="98">
        <f t="shared" si="28"/>
        <v>16.748783333333332</v>
      </c>
      <c r="L212" s="98">
        <f>+K212/Tiempos!$B$11</f>
        <v>3.6410398550724636E-2</v>
      </c>
      <c r="M212" s="238"/>
      <c r="N212" s="238"/>
      <c r="O212" s="238"/>
      <c r="P212" s="238"/>
      <c r="Q212" s="261">
        <f>+K212/Tiempos!$B$12</f>
        <v>1.8205199275362318E-2</v>
      </c>
    </row>
    <row r="213" spans="1:17" x14ac:dyDescent="0.35">
      <c r="A213" s="81"/>
      <c r="B213" s="81">
        <v>2</v>
      </c>
      <c r="C213" s="83">
        <v>1</v>
      </c>
      <c r="D213" s="83" t="s">
        <v>69</v>
      </c>
      <c r="E213" s="99" t="s">
        <v>544</v>
      </c>
      <c r="F213" s="81" t="str">
        <f t="shared" si="29"/>
        <v>CHI_ALM</v>
      </c>
      <c r="G213" s="123">
        <f>VLOOKUP(F213,Volumenes!$D$20:$F$184,3,FALSE)</f>
        <v>27.279999999999998</v>
      </c>
      <c r="H213" s="97"/>
      <c r="I213" s="98">
        <f>10/60</f>
        <v>0.16666666666666666</v>
      </c>
      <c r="J213" s="110">
        <f>+I213*(1+Tiempos!$C$17)</f>
        <v>0.17541666666666667</v>
      </c>
      <c r="K213" s="98">
        <f t="shared" si="28"/>
        <v>4.7853666666666665</v>
      </c>
      <c r="L213" s="98">
        <f>+K213/Tiempos!$B$11</f>
        <v>1.0402971014492753E-2</v>
      </c>
      <c r="M213" s="238"/>
      <c r="N213" s="238"/>
      <c r="O213" s="238"/>
      <c r="P213" s="238"/>
      <c r="Q213" s="261">
        <f>+K213/Tiempos!$B$12</f>
        <v>5.2014855072463765E-3</v>
      </c>
    </row>
    <row r="214" spans="1:17" x14ac:dyDescent="0.35">
      <c r="A214" s="92"/>
      <c r="B214" s="92">
        <v>2</v>
      </c>
      <c r="C214" s="100">
        <v>1</v>
      </c>
      <c r="D214" s="100" t="s">
        <v>69</v>
      </c>
      <c r="E214" s="101" t="s">
        <v>545</v>
      </c>
      <c r="F214" s="92" t="str">
        <f t="shared" si="29"/>
        <v>CHI_ALM</v>
      </c>
      <c r="G214" s="146">
        <f>VLOOKUP(F214,Volumenes!$D$20:$F$184,3,FALSE)</f>
        <v>27.279999999999998</v>
      </c>
      <c r="H214" s="102">
        <f>+Tiempos!E73</f>
        <v>58</v>
      </c>
      <c r="I214" s="103">
        <f>+(H214/Tiempos!$B$28)/60</f>
        <v>0.65670289855072461</v>
      </c>
      <c r="J214" s="111">
        <f>+I214*(1+Tiempos!$C$17)</f>
        <v>0.69117980072463769</v>
      </c>
      <c r="K214" s="103">
        <f t="shared" si="28"/>
        <v>18.855384963768113</v>
      </c>
      <c r="L214" s="103">
        <f>+K214/Tiempos!$B$11</f>
        <v>4.0989967312539378E-2</v>
      </c>
      <c r="M214" s="243"/>
      <c r="N214" s="243"/>
      <c r="O214" s="243"/>
      <c r="P214" s="243"/>
      <c r="Q214" s="262">
        <f>+K214/Tiempos!$B$12</f>
        <v>2.0494983656269689E-2</v>
      </c>
    </row>
    <row r="215" spans="1:17" x14ac:dyDescent="0.35">
      <c r="A215" s="81"/>
      <c r="B215" s="81">
        <v>2</v>
      </c>
      <c r="C215" s="83">
        <v>1</v>
      </c>
      <c r="D215" s="83" t="s">
        <v>69</v>
      </c>
      <c r="E215" s="99" t="s">
        <v>531</v>
      </c>
      <c r="F215" s="81" t="str">
        <f t="shared" si="29"/>
        <v>CHI_ALM</v>
      </c>
      <c r="G215" s="123">
        <f>VLOOKUP(F215,Volumenes!$D$20:$F$184,3,FALSE)</f>
        <v>27.279999999999998</v>
      </c>
      <c r="H215" s="97"/>
      <c r="I215" s="98">
        <f>20/60</f>
        <v>0.33333333333333331</v>
      </c>
      <c r="J215" s="110">
        <f>+I215*(1+Tiempos!$C$17)</f>
        <v>0.35083333333333333</v>
      </c>
      <c r="K215" s="98">
        <f t="shared" si="28"/>
        <v>9.5707333333333331</v>
      </c>
      <c r="L215" s="98">
        <f>+K215/Tiempos!$B$11</f>
        <v>2.0805942028985506E-2</v>
      </c>
      <c r="M215" s="238"/>
      <c r="N215" s="238"/>
      <c r="O215" s="238"/>
      <c r="P215" s="238"/>
      <c r="Q215" s="261">
        <f>+K215/Tiempos!$B$12</f>
        <v>1.0402971014492753E-2</v>
      </c>
    </row>
    <row r="216" spans="1:17" x14ac:dyDescent="0.35">
      <c r="A216" s="92"/>
      <c r="B216" s="92">
        <v>2</v>
      </c>
      <c r="C216" s="100">
        <v>1</v>
      </c>
      <c r="D216" s="100" t="s">
        <v>69</v>
      </c>
      <c r="E216" s="101" t="s">
        <v>546</v>
      </c>
      <c r="F216" s="92" t="str">
        <f t="shared" si="29"/>
        <v>CHI_ALM</v>
      </c>
      <c r="G216" s="146">
        <f>VLOOKUP(F216,Volumenes!$D$20:$F$184,3,FALSE)</f>
        <v>27.279999999999998</v>
      </c>
      <c r="H216" s="102">
        <f>+Tiempos!E73</f>
        <v>58</v>
      </c>
      <c r="I216" s="103">
        <f>+(H216/Tiempos!$B$28)/60</f>
        <v>0.65670289855072461</v>
      </c>
      <c r="J216" s="111">
        <f>+I216*(1+Tiempos!$C$17)</f>
        <v>0.69117980072463769</v>
      </c>
      <c r="K216" s="103">
        <f t="shared" si="28"/>
        <v>18.855384963768113</v>
      </c>
      <c r="L216" s="103">
        <f>+K216/Tiempos!$B$11</f>
        <v>4.0989967312539378E-2</v>
      </c>
      <c r="M216" s="243"/>
      <c r="N216" s="243"/>
      <c r="O216" s="243"/>
      <c r="P216" s="243"/>
      <c r="Q216" s="262">
        <f>+K216/Tiempos!$B$12</f>
        <v>2.0494983656269689E-2</v>
      </c>
    </row>
    <row r="217" spans="1:17" ht="13.5" x14ac:dyDescent="0.35">
      <c r="K217" s="82" t="s">
        <v>40</v>
      </c>
      <c r="L217" s="86">
        <f>SUM(L210:L216)</f>
        <v>0.19533839595148075</v>
      </c>
      <c r="M217" s="238"/>
      <c r="N217" s="238"/>
      <c r="O217" s="238"/>
      <c r="P217" s="238"/>
      <c r="Q217" s="261">
        <f>SUM(Q210:Q216)</f>
        <v>9.7669197975740377E-2</v>
      </c>
    </row>
    <row r="218" spans="1:17" ht="13.5" x14ac:dyDescent="0.35">
      <c r="K218" s="82"/>
      <c r="L218" s="195"/>
      <c r="M218" s="195"/>
      <c r="N218" s="195"/>
      <c r="O218" s="195"/>
      <c r="P218" s="195"/>
      <c r="Q218" s="195"/>
    </row>
    <row r="219" spans="1:17" ht="17.649999999999999" x14ac:dyDescent="0.35">
      <c r="A219" s="79" t="s">
        <v>569</v>
      </c>
      <c r="B219" s="79"/>
      <c r="C219" s="70"/>
      <c r="D219" s="70"/>
      <c r="E219" s="94"/>
      <c r="F219" s="80"/>
      <c r="G219" s="80"/>
      <c r="H219" s="80"/>
      <c r="I219" s="80"/>
      <c r="J219" s="80"/>
      <c r="K219" s="80"/>
      <c r="L219" s="80"/>
    </row>
    <row r="220" spans="1:17" ht="13.15" x14ac:dyDescent="0.4">
      <c r="A220" s="84" t="s">
        <v>1094</v>
      </c>
      <c r="B220" s="84"/>
      <c r="C220" s="70"/>
      <c r="D220" s="70"/>
      <c r="E220" s="94"/>
      <c r="F220" s="80"/>
      <c r="G220" s="80"/>
      <c r="H220" s="80"/>
      <c r="I220" s="80"/>
      <c r="J220" s="80"/>
      <c r="K220" s="80"/>
      <c r="L220" s="80"/>
    </row>
    <row r="221" spans="1:17" x14ac:dyDescent="0.35">
      <c r="A221" s="81"/>
      <c r="B221" s="81">
        <v>2</v>
      </c>
      <c r="C221" s="83">
        <v>1</v>
      </c>
      <c r="D221" s="83" t="s">
        <v>333</v>
      </c>
      <c r="E221" s="99" t="s">
        <v>562</v>
      </c>
      <c r="F221" s="81" t="str">
        <f>+Volumenes!D121</f>
        <v>SUM_PALLET</v>
      </c>
      <c r="G221" s="143">
        <f>VLOOKUP(F221,Volumenes!$D$20:$F$184,3,FALSE)</f>
        <v>20.818000000000001</v>
      </c>
      <c r="H221" s="97"/>
      <c r="I221" s="98">
        <f>6/60</f>
        <v>0.1</v>
      </c>
      <c r="J221" s="110">
        <f>+I221*(1+Tiempos!$C$17)</f>
        <v>0.10525000000000001</v>
      </c>
      <c r="K221" s="98">
        <f>+J221*G221</f>
        <v>2.1910945000000002</v>
      </c>
      <c r="L221" s="98">
        <f>+K221/Tiempos!$B$11</f>
        <v>4.7632489130434788E-3</v>
      </c>
      <c r="M221" s="261">
        <f>+H221/Tiempos!$B$12</f>
        <v>0</v>
      </c>
      <c r="N221" s="238"/>
      <c r="O221" s="238"/>
      <c r="P221" s="261"/>
      <c r="Q221" s="261"/>
    </row>
    <row r="222" spans="1:17" x14ac:dyDescent="0.35">
      <c r="A222" s="81"/>
      <c r="B222" s="81">
        <v>2</v>
      </c>
      <c r="C222" s="83">
        <v>1</v>
      </c>
      <c r="D222" s="83" t="s">
        <v>333</v>
      </c>
      <c r="E222" s="99" t="s">
        <v>563</v>
      </c>
      <c r="F222" s="81" t="str">
        <f>+Volumenes!D121</f>
        <v>SUM_PALLET</v>
      </c>
      <c r="G222" s="143">
        <f>VLOOKUP(F222,Volumenes!$D$20:$F$184,3,FALSE)</f>
        <v>20.818000000000001</v>
      </c>
      <c r="H222" s="97"/>
      <c r="I222" s="98">
        <f>60/60</f>
        <v>1</v>
      </c>
      <c r="J222" s="110">
        <f>+I222*(1+Tiempos!$C$17)</f>
        <v>1.0525</v>
      </c>
      <c r="K222" s="98">
        <f t="shared" ref="K222:K223" si="30">+J222*G222</f>
        <v>21.910945000000002</v>
      </c>
      <c r="L222" s="98">
        <f>+K222/Tiempos!$B$11</f>
        <v>4.7632489130434788E-2</v>
      </c>
      <c r="M222" s="261">
        <f>+H222/Tiempos!$B$12</f>
        <v>0</v>
      </c>
      <c r="N222" s="238"/>
      <c r="O222" s="238"/>
      <c r="P222" s="261"/>
      <c r="Q222" s="261"/>
    </row>
    <row r="223" spans="1:17" x14ac:dyDescent="0.35">
      <c r="A223" s="81"/>
      <c r="B223" s="81">
        <v>2</v>
      </c>
      <c r="C223" s="83">
        <v>1</v>
      </c>
      <c r="D223" s="83" t="s">
        <v>333</v>
      </c>
      <c r="E223" s="99" t="s">
        <v>564</v>
      </c>
      <c r="F223" s="81" t="str">
        <f>+Volumenes!D120</f>
        <v>SUM_CAJ_L1-2</v>
      </c>
      <c r="G223" s="143">
        <f>VLOOKUP(F223,Volumenes!$D$20:$F$184,3,FALSE)</f>
        <v>145.726</v>
      </c>
      <c r="H223" s="97"/>
      <c r="I223" s="98">
        <f>10/60</f>
        <v>0.16666666666666666</v>
      </c>
      <c r="J223" s="110">
        <f>+I223*(1+Tiempos!$C$17)</f>
        <v>0.17541666666666667</v>
      </c>
      <c r="K223" s="98">
        <f t="shared" si="30"/>
        <v>25.562769166666666</v>
      </c>
      <c r="L223" s="98">
        <f>+K223/Tiempos!$B$11</f>
        <v>5.5571237318840574E-2</v>
      </c>
      <c r="M223" s="261">
        <f>+H223/Tiempos!$B$12</f>
        <v>0</v>
      </c>
      <c r="N223" s="238"/>
      <c r="O223" s="238"/>
      <c r="P223" s="261"/>
      <c r="Q223" s="261"/>
    </row>
    <row r="224" spans="1:17" x14ac:dyDescent="0.35">
      <c r="A224" s="92"/>
      <c r="B224" s="92">
        <v>2</v>
      </c>
      <c r="C224" s="100">
        <v>1</v>
      </c>
      <c r="D224" s="100" t="s">
        <v>333</v>
      </c>
      <c r="E224" s="101" t="s">
        <v>567</v>
      </c>
      <c r="F224" s="92" t="str">
        <f>+Volumenes!D121</f>
        <v>SUM_PALLET</v>
      </c>
      <c r="G224" s="144">
        <f>VLOOKUP(F224,Volumenes!$D$20:$F$184,3,FALSE)</f>
        <v>20.818000000000001</v>
      </c>
      <c r="H224" s="102">
        <f>VLOOKUP(F224,Tiempos!$D$42:$F$228,2,FALSE)</f>
        <v>265</v>
      </c>
      <c r="I224" s="103">
        <f>VLOOKUP(F224,Tiempos!D42:F145,3,FALSE)</f>
        <v>2.2649572649572653</v>
      </c>
      <c r="J224" s="111">
        <f>+I224*(1+Tiempos!$C$17)</f>
        <v>2.3838675213675216</v>
      </c>
      <c r="K224" s="103">
        <f>+J224*G224</f>
        <v>49.627354059829067</v>
      </c>
      <c r="L224" s="103">
        <f>+K224/Tiempos!$B$11</f>
        <v>0.10788555230397623</v>
      </c>
      <c r="M224" s="262">
        <f>+H224/Tiempos!$B$12</f>
        <v>0.28804347826086957</v>
      </c>
      <c r="N224" s="243"/>
      <c r="O224" s="243"/>
      <c r="P224" s="262"/>
      <c r="Q224" s="262"/>
    </row>
    <row r="225" spans="1:17" x14ac:dyDescent="0.35">
      <c r="A225" s="92"/>
      <c r="B225" s="92">
        <v>2</v>
      </c>
      <c r="C225" s="100">
        <v>1</v>
      </c>
      <c r="D225" s="100" t="s">
        <v>46</v>
      </c>
      <c r="E225" s="101" t="s">
        <v>566</v>
      </c>
      <c r="F225" s="92" t="str">
        <f>+Volumenes!D120</f>
        <v>SUM_CAJ_L1-2</v>
      </c>
      <c r="G225" s="144">
        <f>VLOOKUP(F225,Volumenes!$D$20:$F$184,3,FALSE)</f>
        <v>145.726</v>
      </c>
      <c r="H225" s="102">
        <f>VLOOKUP(F225,Tiempos!$D$42:$F$228,2,FALSE)</f>
        <v>26</v>
      </c>
      <c r="I225" s="103">
        <f>VLOOKUP(F225,Tiempos!D43:F146,3,FALSE)</f>
        <v>0.29438405797101452</v>
      </c>
      <c r="J225" s="111">
        <f>+I225*(1+Tiempos!$C$17)</f>
        <v>0.30983922101449279</v>
      </c>
      <c r="K225" s="103">
        <f>+J225*G225</f>
        <v>45.151630321557974</v>
      </c>
      <c r="L225" s="103">
        <f>+K225/Tiempos!$B$11</f>
        <v>9.8155718090343416E-2</v>
      </c>
      <c r="M225" s="262">
        <f>+H225/Tiempos!$B$12</f>
        <v>2.8260869565217391E-2</v>
      </c>
      <c r="N225" s="243"/>
      <c r="O225" s="243"/>
      <c r="P225" s="262"/>
      <c r="Q225" s="262"/>
    </row>
    <row r="226" spans="1:17" x14ac:dyDescent="0.35">
      <c r="A226" s="81"/>
      <c r="B226" s="81">
        <v>2</v>
      </c>
      <c r="C226" s="83">
        <v>1</v>
      </c>
      <c r="D226" s="83" t="s">
        <v>333</v>
      </c>
      <c r="E226" s="99" t="s">
        <v>565</v>
      </c>
      <c r="F226" s="81" t="str">
        <f>+Volumenes!D120</f>
        <v>SUM_CAJ_L1-2</v>
      </c>
      <c r="G226" s="143">
        <f>VLOOKUP(F226,Volumenes!$D$20:$F$184,3,FALSE)</f>
        <v>145.726</v>
      </c>
      <c r="H226" s="97"/>
      <c r="I226" s="98">
        <f>35/60</f>
        <v>0.58333333333333337</v>
      </c>
      <c r="J226" s="110">
        <f>+I226*(1+Tiempos!$C$17)</f>
        <v>0.61395833333333338</v>
      </c>
      <c r="K226" s="98">
        <f>+J226*G226</f>
        <v>89.469692083333342</v>
      </c>
      <c r="L226" s="98">
        <f>+K226/Tiempos!$B$11</f>
        <v>0.19449933061594205</v>
      </c>
      <c r="M226" s="261">
        <f>+H226/Tiempos!$B$12</f>
        <v>0</v>
      </c>
      <c r="N226" s="238"/>
      <c r="O226" s="238"/>
      <c r="P226" s="261"/>
      <c r="Q226" s="261"/>
    </row>
    <row r="227" spans="1:17" x14ac:dyDescent="0.35">
      <c r="A227" s="81"/>
      <c r="B227" s="81">
        <v>2</v>
      </c>
      <c r="C227" s="83">
        <v>1</v>
      </c>
      <c r="D227" s="83" t="s">
        <v>333</v>
      </c>
      <c r="E227" s="99" t="s">
        <v>1008</v>
      </c>
      <c r="F227" s="81" t="str">
        <f>+Volumenes!D122</f>
        <v>KLT_VAC</v>
      </c>
      <c r="G227" s="143">
        <f>VLOOKUP(F227,Volumenes!$D$20:$F$184,3,FALSE)</f>
        <v>14.572600000000001</v>
      </c>
      <c r="H227" s="97"/>
      <c r="I227" s="98">
        <f>35/60</f>
        <v>0.58333333333333337</v>
      </c>
      <c r="J227" s="110">
        <f>+I227*(1+Tiempos!$C$17)</f>
        <v>0.61395833333333338</v>
      </c>
      <c r="K227" s="98">
        <f t="shared" ref="K227:K229" si="31">+J227*G227</f>
        <v>8.9469692083333356</v>
      </c>
      <c r="L227" s="98">
        <f>+K227/Tiempos!$B$11</f>
        <v>1.9449933061594208E-2</v>
      </c>
      <c r="M227" s="261">
        <f>+H227/Tiempos!$B$12</f>
        <v>0</v>
      </c>
      <c r="N227" s="238"/>
      <c r="O227" s="238"/>
      <c r="P227" s="261"/>
      <c r="Q227" s="261"/>
    </row>
    <row r="228" spans="1:17" x14ac:dyDescent="0.35">
      <c r="A228" s="81"/>
      <c r="B228" s="81">
        <v>2</v>
      </c>
      <c r="C228" s="83">
        <v>1</v>
      </c>
      <c r="D228" s="83" t="s">
        <v>333</v>
      </c>
      <c r="E228" s="99" t="s">
        <v>568</v>
      </c>
      <c r="F228" s="81" t="str">
        <f>+Volumenes!D120</f>
        <v>SUM_CAJ_L1-2</v>
      </c>
      <c r="G228" s="143">
        <f>VLOOKUP(F228,Volumenes!$D$20:$F$184,3,FALSE)</f>
        <v>145.726</v>
      </c>
      <c r="H228" s="97"/>
      <c r="I228" s="98">
        <f>8/60</f>
        <v>0.13333333333333333</v>
      </c>
      <c r="J228" s="110">
        <f>+I228*(1+Tiempos!$C$17)</f>
        <v>0.14033333333333334</v>
      </c>
      <c r="K228" s="98">
        <f t="shared" si="31"/>
        <v>20.450215333333333</v>
      </c>
      <c r="L228" s="98">
        <f>+K228/Tiempos!$B$11</f>
        <v>4.445698985507246E-2</v>
      </c>
      <c r="M228" s="261">
        <f>+H228/Tiempos!$B$12</f>
        <v>0</v>
      </c>
      <c r="N228" s="238"/>
      <c r="O228" s="238"/>
      <c r="P228" s="261"/>
      <c r="Q228" s="261"/>
    </row>
    <row r="229" spans="1:17" x14ac:dyDescent="0.35">
      <c r="A229" s="81"/>
      <c r="B229" s="81">
        <v>2</v>
      </c>
      <c r="C229" s="83">
        <v>1</v>
      </c>
      <c r="D229" s="83" t="s">
        <v>333</v>
      </c>
      <c r="E229" s="99" t="s">
        <v>570</v>
      </c>
      <c r="F229" s="81" t="str">
        <f>+Volumenes!D120</f>
        <v>SUM_CAJ_L1-2</v>
      </c>
      <c r="G229" s="143">
        <f>VLOOKUP(F229,Volumenes!$D$20:$F$184,3,FALSE)</f>
        <v>145.726</v>
      </c>
      <c r="H229" s="97"/>
      <c r="I229" s="98">
        <f>8/60</f>
        <v>0.13333333333333333</v>
      </c>
      <c r="J229" s="110">
        <f>+I229*(1+Tiempos!$C$17)</f>
        <v>0.14033333333333334</v>
      </c>
      <c r="K229" s="98">
        <f t="shared" si="31"/>
        <v>20.450215333333333</v>
      </c>
      <c r="L229" s="98">
        <f>+K229/Tiempos!$B$11</f>
        <v>4.445698985507246E-2</v>
      </c>
      <c r="M229" s="261">
        <f>+H229/Tiempos!$B$12</f>
        <v>0</v>
      </c>
      <c r="N229" s="238"/>
      <c r="O229" s="238"/>
      <c r="P229" s="261"/>
      <c r="Q229" s="261"/>
    </row>
    <row r="230" spans="1:17" x14ac:dyDescent="0.35">
      <c r="A230" s="75"/>
      <c r="B230" s="75"/>
      <c r="E230" s="104"/>
      <c r="F230" s="75"/>
      <c r="G230" s="108"/>
      <c r="H230" s="105"/>
      <c r="I230" s="106"/>
      <c r="J230" s="107"/>
      <c r="K230" s="109"/>
      <c r="L230" s="98">
        <f>SUM(L221:L229)</f>
        <v>0.61687148914431966</v>
      </c>
      <c r="M230" s="110">
        <f>SUM(M221:M229)</f>
        <v>0.31630434782608696</v>
      </c>
      <c r="N230" s="141"/>
      <c r="O230" s="141"/>
      <c r="P230" s="110"/>
      <c r="Q230" s="141"/>
    </row>
    <row r="231" spans="1:17" x14ac:dyDescent="0.35">
      <c r="A231" s="75"/>
      <c r="B231" s="75"/>
      <c r="E231" s="104"/>
      <c r="F231" s="75"/>
      <c r="G231" s="108"/>
      <c r="H231" s="105"/>
      <c r="I231" s="106"/>
      <c r="J231" s="107"/>
      <c r="K231" s="109"/>
      <c r="L231" s="249"/>
      <c r="M231" s="249"/>
      <c r="N231" s="249"/>
      <c r="O231" s="249"/>
      <c r="P231" s="249"/>
      <c r="Q231" s="249"/>
    </row>
    <row r="232" spans="1:17" ht="13.15" x14ac:dyDescent="0.4">
      <c r="A232" s="84" t="s">
        <v>767</v>
      </c>
      <c r="B232" s="84"/>
      <c r="C232" s="70"/>
      <c r="D232" s="70"/>
      <c r="E232" s="94"/>
      <c r="F232" s="80"/>
      <c r="G232" s="80"/>
      <c r="H232" s="80"/>
      <c r="I232" s="80"/>
      <c r="J232" s="80"/>
      <c r="K232" s="80"/>
      <c r="L232" s="80"/>
    </row>
    <row r="233" spans="1:17" x14ac:dyDescent="0.35">
      <c r="A233" s="81"/>
      <c r="B233" s="81">
        <v>2</v>
      </c>
      <c r="C233" s="83">
        <v>1</v>
      </c>
      <c r="D233" s="83" t="s">
        <v>46</v>
      </c>
      <c r="E233" s="99" t="s">
        <v>768</v>
      </c>
      <c r="F233" s="81" t="str">
        <f>+Volumenes!D120</f>
        <v>SUM_CAJ_L1-2</v>
      </c>
      <c r="G233" s="143">
        <f>VLOOKUP(F233,Volumenes!$D$20:$F$184,3,FALSE)</f>
        <v>145.726</v>
      </c>
      <c r="H233" s="97"/>
      <c r="I233" s="98">
        <f>8/60</f>
        <v>0.13333333333333333</v>
      </c>
      <c r="J233" s="110">
        <f>+I233*(1+Tiempos!$C$17)</f>
        <v>0.14033333333333334</v>
      </c>
      <c r="K233" s="98">
        <f>+J233*G233</f>
        <v>20.450215333333333</v>
      </c>
      <c r="L233" s="98">
        <f>+K233/Tiempos!$B$11</f>
        <v>4.445698985507246E-2</v>
      </c>
      <c r="M233" s="238"/>
      <c r="N233" s="238"/>
      <c r="O233" s="238"/>
      <c r="P233" s="261"/>
      <c r="Q233" s="261"/>
    </row>
    <row r="234" spans="1:17" x14ac:dyDescent="0.35">
      <c r="A234" s="81"/>
      <c r="B234" s="81">
        <v>2</v>
      </c>
      <c r="C234" s="83">
        <v>1</v>
      </c>
      <c r="D234" s="83" t="s">
        <v>46</v>
      </c>
      <c r="E234" s="99" t="s">
        <v>769</v>
      </c>
      <c r="F234" s="81" t="str">
        <f>+F233</f>
        <v>SUM_CAJ_L1-2</v>
      </c>
      <c r="G234" s="143">
        <f>VLOOKUP(F234,Volumenes!$D$20:$F$184,3,FALSE)</f>
        <v>145.726</v>
      </c>
      <c r="H234" s="97"/>
      <c r="I234" s="98">
        <f>15/60</f>
        <v>0.25</v>
      </c>
      <c r="J234" s="110">
        <f>+I234*(1+Tiempos!$C$17)</f>
        <v>0.263125</v>
      </c>
      <c r="K234" s="98">
        <f t="shared" ref="K234:K235" si="32">+J234*G234</f>
        <v>38.344153749999997</v>
      </c>
      <c r="L234" s="98">
        <f>+K234/Tiempos!$B$11</f>
        <v>8.3356855978260869E-2</v>
      </c>
      <c r="M234" s="238"/>
      <c r="N234" s="238"/>
      <c r="O234" s="238"/>
      <c r="P234" s="261"/>
      <c r="Q234" s="261"/>
    </row>
    <row r="235" spans="1:17" x14ac:dyDescent="0.35">
      <c r="A235" s="81"/>
      <c r="B235" s="81">
        <v>2</v>
      </c>
      <c r="C235" s="83">
        <v>1</v>
      </c>
      <c r="D235" s="83" t="s">
        <v>46</v>
      </c>
      <c r="E235" s="99" t="s">
        <v>770</v>
      </c>
      <c r="F235" s="81" t="str">
        <f>+F234</f>
        <v>SUM_CAJ_L1-2</v>
      </c>
      <c r="G235" s="143">
        <f>VLOOKUP(F235,Volumenes!$D$20:$F$184,3,FALSE)</f>
        <v>145.726</v>
      </c>
      <c r="H235" s="97"/>
      <c r="I235" s="98">
        <f>15/60</f>
        <v>0.25</v>
      </c>
      <c r="J235" s="110">
        <f>+I235*(1+Tiempos!$C$17)</f>
        <v>0.263125</v>
      </c>
      <c r="K235" s="98">
        <f t="shared" si="32"/>
        <v>38.344153749999997</v>
      </c>
      <c r="L235" s="98">
        <f>+K235/Tiempos!$B$11</f>
        <v>8.3356855978260869E-2</v>
      </c>
      <c r="M235" s="238"/>
      <c r="N235" s="238"/>
      <c r="O235" s="238"/>
      <c r="P235" s="261"/>
      <c r="Q235" s="261"/>
    </row>
    <row r="236" spans="1:17" x14ac:dyDescent="0.35">
      <c r="A236" s="75"/>
      <c r="B236" s="75"/>
      <c r="E236" s="104"/>
      <c r="F236" s="75"/>
      <c r="G236" s="108"/>
      <c r="H236" s="105"/>
      <c r="I236" s="106"/>
      <c r="J236" s="107"/>
      <c r="K236" s="109"/>
      <c r="L236" s="98">
        <f>SUM(L233:L235)</f>
        <v>0.2111707018115942</v>
      </c>
      <c r="M236" s="141"/>
      <c r="N236" s="141"/>
      <c r="O236" s="141"/>
      <c r="P236" s="110"/>
      <c r="Q236" s="141"/>
    </row>
    <row r="237" spans="1:17" x14ac:dyDescent="0.35">
      <c r="A237" s="75"/>
      <c r="B237" s="75"/>
      <c r="E237" s="104"/>
      <c r="F237" s="75"/>
      <c r="G237" s="108"/>
      <c r="H237" s="105"/>
      <c r="I237" s="106"/>
      <c r="J237" s="107"/>
      <c r="K237" s="109"/>
      <c r="L237" s="249"/>
      <c r="M237" s="249"/>
      <c r="N237" s="249"/>
      <c r="O237" s="249"/>
      <c r="P237" s="249"/>
      <c r="Q237" s="249"/>
    </row>
    <row r="238" spans="1:17" ht="13.15" x14ac:dyDescent="0.4">
      <c r="A238" s="84" t="s">
        <v>609</v>
      </c>
      <c r="B238" s="84"/>
      <c r="C238" s="70"/>
      <c r="D238" s="70"/>
      <c r="E238" s="94"/>
      <c r="F238" s="80"/>
      <c r="G238" s="80"/>
      <c r="H238" s="80"/>
      <c r="I238" s="80"/>
      <c r="J238" s="80"/>
      <c r="K238" s="80"/>
      <c r="L238" s="80"/>
    </row>
    <row r="239" spans="1:17" x14ac:dyDescent="0.35">
      <c r="A239" s="81"/>
      <c r="B239" s="81">
        <v>2</v>
      </c>
      <c r="C239" s="83">
        <v>1</v>
      </c>
      <c r="D239" s="83" t="s">
        <v>333</v>
      </c>
      <c r="E239" s="99" t="s">
        <v>815</v>
      </c>
      <c r="F239" s="81" t="str">
        <f>+Volumenes!D46</f>
        <v>CHA_SUM</v>
      </c>
      <c r="G239" s="143">
        <f>VLOOKUP(F239,Volumenes!$D$20:$F$184,3,FALSE)</f>
        <v>26.314693471957526</v>
      </c>
      <c r="H239" s="97"/>
      <c r="I239" s="98">
        <f>35/60</f>
        <v>0.58333333333333337</v>
      </c>
      <c r="J239" s="110">
        <f>+I239*(1+Tiempos!$C$17)</f>
        <v>0.61395833333333338</v>
      </c>
      <c r="K239" s="98">
        <f>+J239*G239</f>
        <v>16.156125346220591</v>
      </c>
      <c r="L239" s="98">
        <f>+K239/Tiempos!$B$11</f>
        <v>3.5122011622218674E-2</v>
      </c>
      <c r="M239" s="261">
        <f>+K239/Tiempos!$B$12</f>
        <v>1.7561005811109337E-2</v>
      </c>
      <c r="N239" s="238"/>
      <c r="O239" s="238"/>
      <c r="P239" s="238"/>
      <c r="Q239" s="261"/>
    </row>
    <row r="240" spans="1:17" x14ac:dyDescent="0.35">
      <c r="A240" s="81"/>
      <c r="B240" s="81">
        <v>2</v>
      </c>
      <c r="C240" s="83">
        <v>1</v>
      </c>
      <c r="D240" s="83" t="s">
        <v>333</v>
      </c>
      <c r="E240" s="99" t="s">
        <v>579</v>
      </c>
      <c r="F240" s="81" t="str">
        <f>+Volumenes!D45</f>
        <v>CHA_SUM_BUL</v>
      </c>
      <c r="G240" s="143">
        <f>VLOOKUP(F240,Volumenes!$D$20:$F$184,3,FALSE)</f>
        <v>52.629386943915051</v>
      </c>
      <c r="H240" s="97"/>
      <c r="I240" s="98">
        <f>8/60</f>
        <v>0.13333333333333333</v>
      </c>
      <c r="J240" s="110">
        <f>+I240*(1+Tiempos!$C$17)</f>
        <v>0.14033333333333334</v>
      </c>
      <c r="K240" s="98">
        <f t="shared" ref="K240" si="33">+J240*G240</f>
        <v>7.3856573011294122</v>
      </c>
      <c r="L240" s="98">
        <f>+K240/Tiempos!$B$11</f>
        <v>1.6055776741585679E-2</v>
      </c>
      <c r="M240" s="261">
        <f>+K240/Tiempos!$B$12</f>
        <v>8.0278883707928395E-3</v>
      </c>
      <c r="N240" s="238"/>
      <c r="O240" s="238"/>
      <c r="P240" s="238"/>
      <c r="Q240" s="261"/>
    </row>
    <row r="241" spans="1:17" x14ac:dyDescent="0.35">
      <c r="A241" s="92"/>
      <c r="B241" s="92">
        <v>2</v>
      </c>
      <c r="C241" s="100">
        <v>1</v>
      </c>
      <c r="D241" s="100" t="s">
        <v>333</v>
      </c>
      <c r="E241" s="101" t="s">
        <v>817</v>
      </c>
      <c r="F241" s="92" t="str">
        <f>+Volumenes!D46</f>
        <v>CHA_SUM</v>
      </c>
      <c r="G241" s="144">
        <f>VLOOKUP(F241,Volumenes!$D$20:$F$184,3,FALSE)</f>
        <v>26.314693471957526</v>
      </c>
      <c r="H241" s="102">
        <f>VLOOKUP(F241,Tiempos!$D$42:$F$228,2,FALSE)</f>
        <v>320</v>
      </c>
      <c r="I241" s="103">
        <f>VLOOKUP(F241,Tiempos!D54:F157,3,FALSE)</f>
        <v>2.7350427350427351</v>
      </c>
      <c r="J241" s="111">
        <f>+I241*(1+Tiempos!$C$17)</f>
        <v>2.8786324786324786</v>
      </c>
      <c r="K241" s="103">
        <f>+J241*G241</f>
        <v>75.750331293635</v>
      </c>
      <c r="L241" s="103">
        <f>+K241/Tiempos!$B$11</f>
        <v>0.1646746332470326</v>
      </c>
      <c r="M241" s="262">
        <f>+K241/Tiempos!$B$12</f>
        <v>8.2337316623516302E-2</v>
      </c>
      <c r="N241" s="243"/>
      <c r="O241" s="243"/>
      <c r="P241" s="243"/>
      <c r="Q241" s="262"/>
    </row>
    <row r="242" spans="1:17" x14ac:dyDescent="0.35">
      <c r="A242" s="81"/>
      <c r="B242" s="81">
        <v>2</v>
      </c>
      <c r="C242" s="83">
        <v>1</v>
      </c>
      <c r="D242" s="83" t="s">
        <v>333</v>
      </c>
      <c r="E242" s="99" t="s">
        <v>582</v>
      </c>
      <c r="F242" s="81" t="str">
        <f>+Volumenes!D45</f>
        <v>CHA_SUM_BUL</v>
      </c>
      <c r="G242" s="143">
        <f>VLOOKUP(F242,Volumenes!$D$20:$F$184,3,FALSE)</f>
        <v>52.629386943915051</v>
      </c>
      <c r="H242" s="97"/>
      <c r="I242" s="98">
        <f>15/60</f>
        <v>0.25</v>
      </c>
      <c r="J242" s="110">
        <f>+I242*(1+Tiempos!$C$17)</f>
        <v>0.263125</v>
      </c>
      <c r="K242" s="98">
        <f>+J242*G242</f>
        <v>13.848107439617648</v>
      </c>
      <c r="L242" s="98">
        <f>+K242/Tiempos!$B$11</f>
        <v>3.0104581390473149E-2</v>
      </c>
      <c r="M242" s="261">
        <f>+K242/Tiempos!$B$12</f>
        <v>1.5052290695236574E-2</v>
      </c>
      <c r="N242" s="238"/>
      <c r="O242" s="238"/>
      <c r="P242" s="238"/>
      <c r="Q242" s="261"/>
    </row>
    <row r="243" spans="1:17" x14ac:dyDescent="0.35">
      <c r="A243" s="81"/>
      <c r="B243" s="81">
        <v>2</v>
      </c>
      <c r="C243" s="83">
        <v>1</v>
      </c>
      <c r="D243" s="83" t="s">
        <v>333</v>
      </c>
      <c r="E243" s="99" t="s">
        <v>583</v>
      </c>
      <c r="F243" s="81" t="str">
        <f t="shared" ref="F243:F249" si="34">+F242</f>
        <v>CHA_SUM_BUL</v>
      </c>
      <c r="G243" s="143">
        <f>VLOOKUP(F243,Volumenes!$D$20:$F$184,3,FALSE)</f>
        <v>52.629386943915051</v>
      </c>
      <c r="H243" s="97"/>
      <c r="I243" s="98">
        <f>25/60</f>
        <v>0.41666666666666669</v>
      </c>
      <c r="J243" s="110">
        <f>+I243*(1+Tiempos!$C$17)</f>
        <v>0.43854166666666666</v>
      </c>
      <c r="K243" s="98">
        <f t="shared" ref="K243:K245" si="35">+J243*G243</f>
        <v>23.080179066029412</v>
      </c>
      <c r="L243" s="98">
        <f>+K243/Tiempos!$B$11</f>
        <v>5.0174302317455247E-2</v>
      </c>
      <c r="M243" s="261">
        <f>+K243/Tiempos!$B$12</f>
        <v>2.5087151158727623E-2</v>
      </c>
      <c r="N243" s="238"/>
      <c r="O243" s="238"/>
      <c r="P243" s="238"/>
      <c r="Q243" s="261"/>
    </row>
    <row r="244" spans="1:17" x14ac:dyDescent="0.35">
      <c r="A244" s="81"/>
      <c r="B244" s="81">
        <v>2</v>
      </c>
      <c r="C244" s="83">
        <v>1</v>
      </c>
      <c r="D244" s="83" t="s">
        <v>333</v>
      </c>
      <c r="E244" s="99" t="s">
        <v>584</v>
      </c>
      <c r="F244" s="81" t="str">
        <f t="shared" si="34"/>
        <v>CHA_SUM_BUL</v>
      </c>
      <c r="G244" s="143">
        <f>VLOOKUP(F244,Volumenes!$D$20:$F$184,3,FALSE)</f>
        <v>52.629386943915051</v>
      </c>
      <c r="H244" s="97"/>
      <c r="I244" s="98">
        <f>35/60</f>
        <v>0.58333333333333337</v>
      </c>
      <c r="J244" s="110">
        <f>+I244*(1+Tiempos!$C$17)</f>
        <v>0.61395833333333338</v>
      </c>
      <c r="K244" s="98">
        <f t="shared" si="35"/>
        <v>32.312250692441182</v>
      </c>
      <c r="L244" s="98">
        <f>+K244/Tiempos!$B$11</f>
        <v>7.0244023244437348E-2</v>
      </c>
      <c r="M244" s="261">
        <f>+K244/Tiempos!$B$12</f>
        <v>3.5122011622218674E-2</v>
      </c>
      <c r="N244" s="238"/>
      <c r="O244" s="238"/>
      <c r="P244" s="238"/>
      <c r="Q244" s="261"/>
    </row>
    <row r="245" spans="1:17" x14ac:dyDescent="0.35">
      <c r="A245" s="81"/>
      <c r="B245" s="81">
        <v>2</v>
      </c>
      <c r="C245" s="83">
        <v>1</v>
      </c>
      <c r="D245" s="83" t="s">
        <v>333</v>
      </c>
      <c r="E245" s="99" t="s">
        <v>879</v>
      </c>
      <c r="F245" s="81" t="str">
        <f t="shared" si="34"/>
        <v>CHA_SUM_BUL</v>
      </c>
      <c r="G245" s="143">
        <f>VLOOKUP(F245,Volumenes!$D$20:$F$184,3,FALSE)</f>
        <v>52.629386943915051</v>
      </c>
      <c r="H245" s="97"/>
      <c r="I245" s="98">
        <f>25/60</f>
        <v>0.41666666666666669</v>
      </c>
      <c r="J245" s="110">
        <f>+I245*(1+Tiempos!$C$17)</f>
        <v>0.43854166666666666</v>
      </c>
      <c r="K245" s="98">
        <f t="shared" si="35"/>
        <v>23.080179066029412</v>
      </c>
      <c r="L245" s="98">
        <f>+K245/Tiempos!$B$11</f>
        <v>5.0174302317455247E-2</v>
      </c>
      <c r="M245" s="261">
        <f>+K245/Tiempos!$B$12</f>
        <v>2.5087151158727623E-2</v>
      </c>
      <c r="N245" s="238"/>
      <c r="O245" s="238"/>
      <c r="P245" s="238"/>
      <c r="Q245" s="261"/>
    </row>
    <row r="246" spans="1:17" x14ac:dyDescent="0.35">
      <c r="A246" s="81"/>
      <c r="B246" s="81">
        <v>2</v>
      </c>
      <c r="C246" s="83">
        <v>1</v>
      </c>
      <c r="D246" s="83" t="s">
        <v>333</v>
      </c>
      <c r="E246" s="99" t="s">
        <v>585</v>
      </c>
      <c r="F246" s="81" t="str">
        <f t="shared" si="34"/>
        <v>CHA_SUM_BUL</v>
      </c>
      <c r="G246" s="143">
        <f>VLOOKUP(F246,Volumenes!$D$20:$F$184,3,FALSE)</f>
        <v>52.629386943915051</v>
      </c>
      <c r="H246" s="97"/>
      <c r="I246" s="98">
        <f>15/60</f>
        <v>0.25</v>
      </c>
      <c r="J246" s="110">
        <f>+I246*(1+Tiempos!$C$17)</f>
        <v>0.263125</v>
      </c>
      <c r="K246" s="98">
        <f t="shared" ref="K246:K249" si="36">+J246*G246</f>
        <v>13.848107439617648</v>
      </c>
      <c r="L246" s="98">
        <f>+K246/Tiempos!$B$11</f>
        <v>3.0104581390473149E-2</v>
      </c>
      <c r="M246" s="261">
        <f>+K246/Tiempos!$B$12</f>
        <v>1.5052290695236574E-2</v>
      </c>
      <c r="N246" s="238"/>
      <c r="O246" s="238"/>
      <c r="P246" s="238"/>
      <c r="Q246" s="261"/>
    </row>
    <row r="247" spans="1:17" x14ac:dyDescent="0.35">
      <c r="A247" s="81"/>
      <c r="B247" s="81">
        <v>2</v>
      </c>
      <c r="C247" s="83">
        <v>1</v>
      </c>
      <c r="D247" s="83" t="s">
        <v>333</v>
      </c>
      <c r="E247" s="99" t="s">
        <v>583</v>
      </c>
      <c r="F247" s="81" t="str">
        <f t="shared" si="34"/>
        <v>CHA_SUM_BUL</v>
      </c>
      <c r="G247" s="143">
        <f>VLOOKUP(F247,Volumenes!$D$20:$F$184,3,FALSE)</f>
        <v>52.629386943915051</v>
      </c>
      <c r="H247" s="97"/>
      <c r="I247" s="98">
        <f>25/60</f>
        <v>0.41666666666666669</v>
      </c>
      <c r="J247" s="110">
        <f>+I247*(1+Tiempos!$C$17)</f>
        <v>0.43854166666666666</v>
      </c>
      <c r="K247" s="98">
        <f t="shared" si="36"/>
        <v>23.080179066029412</v>
      </c>
      <c r="L247" s="98">
        <f>+K247/Tiempos!$B$11</f>
        <v>5.0174302317455247E-2</v>
      </c>
      <c r="M247" s="261">
        <f>+K247/Tiempos!$B$12</f>
        <v>2.5087151158727623E-2</v>
      </c>
      <c r="N247" s="238"/>
      <c r="O247" s="238"/>
      <c r="P247" s="238"/>
      <c r="Q247" s="261"/>
    </row>
    <row r="248" spans="1:17" x14ac:dyDescent="0.35">
      <c r="A248" s="81"/>
      <c r="B248" s="81">
        <v>2</v>
      </c>
      <c r="C248" s="83">
        <v>1</v>
      </c>
      <c r="D248" s="83" t="s">
        <v>333</v>
      </c>
      <c r="E248" s="99" t="s">
        <v>586</v>
      </c>
      <c r="F248" s="81" t="str">
        <f t="shared" si="34"/>
        <v>CHA_SUM_BUL</v>
      </c>
      <c r="G248" s="143">
        <f>VLOOKUP(F248,Volumenes!$D$20:$F$184,3,FALSE)</f>
        <v>52.629386943915051</v>
      </c>
      <c r="H248" s="97"/>
      <c r="I248" s="98">
        <f>35/60</f>
        <v>0.58333333333333337</v>
      </c>
      <c r="J248" s="110">
        <f>+I248*(1+Tiempos!$C$17)</f>
        <v>0.61395833333333338</v>
      </c>
      <c r="K248" s="98">
        <f t="shared" si="36"/>
        <v>32.312250692441182</v>
      </c>
      <c r="L248" s="98">
        <f>+K248/Tiempos!$B$11</f>
        <v>7.0244023244437348E-2</v>
      </c>
      <c r="M248" s="261">
        <f>+K248/Tiempos!$B$12</f>
        <v>3.5122011622218674E-2</v>
      </c>
      <c r="N248" s="238"/>
      <c r="O248" s="238"/>
      <c r="P248" s="238"/>
      <c r="Q248" s="261"/>
    </row>
    <row r="249" spans="1:17" x14ac:dyDescent="0.35">
      <c r="A249" s="81"/>
      <c r="B249" s="81">
        <v>2</v>
      </c>
      <c r="C249" s="83">
        <v>1</v>
      </c>
      <c r="D249" s="83" t="s">
        <v>333</v>
      </c>
      <c r="E249" s="99" t="s">
        <v>816</v>
      </c>
      <c r="F249" s="81" t="str">
        <f t="shared" si="34"/>
        <v>CHA_SUM_BUL</v>
      </c>
      <c r="G249" s="143">
        <f>VLOOKUP(F249,Volumenes!$D$20:$F$184,3,FALSE)</f>
        <v>52.629386943915051</v>
      </c>
      <c r="H249" s="97"/>
      <c r="I249" s="98">
        <f>15/60</f>
        <v>0.25</v>
      </c>
      <c r="J249" s="110">
        <f>+I249*(1+Tiempos!$C$17)</f>
        <v>0.263125</v>
      </c>
      <c r="K249" s="98">
        <f t="shared" si="36"/>
        <v>13.848107439617648</v>
      </c>
      <c r="L249" s="98">
        <f>+K249/Tiempos!$B$11</f>
        <v>3.0104581390473149E-2</v>
      </c>
      <c r="M249" s="261">
        <f>+K249/Tiempos!$B$12</f>
        <v>1.5052290695236574E-2</v>
      </c>
      <c r="N249" s="238"/>
      <c r="O249" s="238"/>
      <c r="P249" s="238"/>
      <c r="Q249" s="261"/>
    </row>
    <row r="250" spans="1:17" x14ac:dyDescent="0.35">
      <c r="A250" s="75"/>
      <c r="B250" s="75"/>
      <c r="E250" s="104"/>
      <c r="F250" s="75"/>
      <c r="G250" s="108"/>
      <c r="H250" s="105"/>
      <c r="I250" s="106"/>
      <c r="J250" s="107"/>
      <c r="K250" s="109"/>
      <c r="L250" s="98">
        <f>SUM(L239:L249)</f>
        <v>0.59717711922349681</v>
      </c>
      <c r="M250" s="98">
        <f>SUM(M239:M249)</f>
        <v>0.29858855961174841</v>
      </c>
      <c r="N250" s="141"/>
      <c r="O250" s="141"/>
      <c r="P250" s="141"/>
      <c r="Q250" s="141"/>
    </row>
    <row r="251" spans="1:17" x14ac:dyDescent="0.35">
      <c r="A251" s="75"/>
      <c r="B251" s="75"/>
      <c r="E251" s="104"/>
      <c r="F251" s="75"/>
      <c r="G251" s="108"/>
      <c r="H251" s="105"/>
      <c r="I251" s="106"/>
      <c r="J251" s="107"/>
      <c r="K251" s="109"/>
      <c r="L251" s="249"/>
      <c r="M251" s="249"/>
      <c r="N251" s="249"/>
      <c r="O251" s="249"/>
      <c r="P251" s="249"/>
      <c r="Q251" s="249"/>
    </row>
    <row r="252" spans="1:17" ht="13.15" x14ac:dyDescent="0.4">
      <c r="A252" s="84" t="s">
        <v>575</v>
      </c>
      <c r="B252" s="84"/>
      <c r="C252" s="70"/>
      <c r="D252" s="70"/>
      <c r="E252" s="94"/>
      <c r="F252" s="80"/>
      <c r="G252" s="80"/>
      <c r="H252" s="80"/>
      <c r="I252" s="80"/>
      <c r="J252" s="80"/>
      <c r="K252" s="80"/>
      <c r="L252" s="80"/>
    </row>
    <row r="253" spans="1:17" x14ac:dyDescent="0.35">
      <c r="A253" s="81"/>
      <c r="B253" s="81">
        <v>2</v>
      </c>
      <c r="C253" s="83">
        <v>1</v>
      </c>
      <c r="D253" s="83" t="s">
        <v>69</v>
      </c>
      <c r="E253" s="99" t="s">
        <v>587</v>
      </c>
      <c r="F253" s="81" t="str">
        <f>+Volumenes!D181</f>
        <v>CHI_GRA_SUM</v>
      </c>
      <c r="G253" s="143">
        <f>VLOOKUP(F253,Volumenes!$D$20:$F$184,3,FALSE)</f>
        <v>8.0799999999999983</v>
      </c>
      <c r="H253" s="97"/>
      <c r="I253" s="98">
        <f>8/60</f>
        <v>0.13333333333333333</v>
      </c>
      <c r="J253" s="110">
        <f>+I253*(1+Tiempos!$C$17)</f>
        <v>0.14033333333333334</v>
      </c>
      <c r="K253" s="98">
        <f>+J253*G253</f>
        <v>1.1338933333333332</v>
      </c>
      <c r="L253" s="98">
        <f>+K253/Tiempos!$B$11</f>
        <v>2.4649855072463767E-3</v>
      </c>
      <c r="M253" s="261">
        <f>+K253/Tiempos!$B$12</f>
        <v>1.2324927536231883E-3</v>
      </c>
      <c r="N253" s="238"/>
      <c r="O253" s="238"/>
      <c r="P253" s="238"/>
      <c r="Q253" s="261"/>
    </row>
    <row r="254" spans="1:17" x14ac:dyDescent="0.35">
      <c r="A254" s="81"/>
      <c r="B254" s="81">
        <v>2</v>
      </c>
      <c r="C254" s="83">
        <v>1</v>
      </c>
      <c r="D254" s="83" t="s">
        <v>69</v>
      </c>
      <c r="E254" s="99" t="s">
        <v>588</v>
      </c>
      <c r="F254" s="81" t="str">
        <f t="shared" ref="F254:F259" si="37">+F253</f>
        <v>CHI_GRA_SUM</v>
      </c>
      <c r="G254" s="143">
        <f>VLOOKUP(F254,Volumenes!$D$20:$F$184,3,FALSE)</f>
        <v>8.0799999999999983</v>
      </c>
      <c r="H254" s="97"/>
      <c r="I254" s="98">
        <f>15/60</f>
        <v>0.25</v>
      </c>
      <c r="J254" s="110">
        <f>+I254*(1+Tiempos!$C$17)</f>
        <v>0.263125</v>
      </c>
      <c r="K254" s="98">
        <f t="shared" ref="K254:K256" si="38">+J254*G254</f>
        <v>2.1260499999999993</v>
      </c>
      <c r="L254" s="98">
        <f>+K254/Tiempos!$B$11</f>
        <v>4.621847826086955E-3</v>
      </c>
      <c r="M254" s="261">
        <f>+K254/Tiempos!$B$12</f>
        <v>2.3109239130434775E-3</v>
      </c>
      <c r="N254" s="238"/>
      <c r="O254" s="238"/>
      <c r="P254" s="238"/>
      <c r="Q254" s="261"/>
    </row>
    <row r="255" spans="1:17" x14ac:dyDescent="0.35">
      <c r="A255" s="92"/>
      <c r="B255" s="92">
        <v>2</v>
      </c>
      <c r="C255" s="100">
        <v>1</v>
      </c>
      <c r="D255" s="100" t="s">
        <v>69</v>
      </c>
      <c r="E255" s="101" t="s">
        <v>592</v>
      </c>
      <c r="F255" s="92" t="str">
        <f t="shared" si="37"/>
        <v>CHI_GRA_SUM</v>
      </c>
      <c r="G255" s="144">
        <f>VLOOKUP(F255,Volumenes!$D$20:$F$184,3,FALSE)</f>
        <v>8.0799999999999983</v>
      </c>
      <c r="H255" s="102">
        <f>VLOOKUP(F255,Tiempos!$D$42:$F$228,2,FALSE)</f>
        <v>110</v>
      </c>
      <c r="I255" s="103">
        <f>VLOOKUP(F255,Tiempos!D61:F164,3,FALSE)</f>
        <v>0.94017094017094016</v>
      </c>
      <c r="J255" s="111">
        <f>+I255*(1+Tiempos!$C$17)</f>
        <v>0.98952991452991457</v>
      </c>
      <c r="K255" s="103">
        <f t="shared" ref="K255" si="39">+J255*G255</f>
        <v>7.9954017094017082</v>
      </c>
      <c r="L255" s="103">
        <f>+K255/Tiempos!$B$11</f>
        <v>1.7381308063916755E-2</v>
      </c>
      <c r="M255" s="262">
        <f>+K255/Tiempos!$B$12</f>
        <v>8.6906540319583777E-3</v>
      </c>
      <c r="N255" s="243"/>
      <c r="O255" s="243"/>
      <c r="P255" s="243"/>
      <c r="Q255" s="262"/>
    </row>
    <row r="256" spans="1:17" x14ac:dyDescent="0.35">
      <c r="A256" s="81"/>
      <c r="B256" s="81">
        <v>2</v>
      </c>
      <c r="C256" s="83">
        <v>1</v>
      </c>
      <c r="D256" s="83" t="s">
        <v>69</v>
      </c>
      <c r="E256" s="99" t="s">
        <v>589</v>
      </c>
      <c r="F256" s="81" t="str">
        <f t="shared" si="37"/>
        <v>CHI_GRA_SUM</v>
      </c>
      <c r="G256" s="143">
        <f>VLOOKUP(F256,Volumenes!$D$20:$F$184,3,FALSE)</f>
        <v>8.0799999999999983</v>
      </c>
      <c r="H256" s="97"/>
      <c r="I256" s="98">
        <f>25/60</f>
        <v>0.41666666666666669</v>
      </c>
      <c r="J256" s="110">
        <f>+I256*(1+Tiempos!$C$17)</f>
        <v>0.43854166666666666</v>
      </c>
      <c r="K256" s="98">
        <f t="shared" si="38"/>
        <v>3.543416666666666</v>
      </c>
      <c r="L256" s="98">
        <f>+K256/Tiempos!$B$11</f>
        <v>7.7030797101449262E-3</v>
      </c>
      <c r="M256" s="261">
        <f>+K256/Tiempos!$B$12</f>
        <v>3.8515398550724631E-3</v>
      </c>
      <c r="N256" s="238"/>
      <c r="O256" s="238"/>
      <c r="P256" s="238"/>
      <c r="Q256" s="261"/>
    </row>
    <row r="257" spans="1:34" x14ac:dyDescent="0.35">
      <c r="A257" s="81"/>
      <c r="B257" s="81">
        <v>2</v>
      </c>
      <c r="C257" s="83">
        <v>1</v>
      </c>
      <c r="D257" s="83" t="s">
        <v>69</v>
      </c>
      <c r="E257" s="99" t="s">
        <v>590</v>
      </c>
      <c r="F257" s="81" t="str">
        <f t="shared" si="37"/>
        <v>CHI_GRA_SUM</v>
      </c>
      <c r="G257" s="143">
        <f>VLOOKUP(F257,Volumenes!$D$20:$F$184,3,FALSE)</f>
        <v>8.0799999999999983</v>
      </c>
      <c r="H257" s="97"/>
      <c r="I257" s="98">
        <f>35/60</f>
        <v>0.58333333333333337</v>
      </c>
      <c r="J257" s="110">
        <f>+I257*(1+Tiempos!$C$17)</f>
        <v>0.61395833333333338</v>
      </c>
      <c r="K257" s="98">
        <f t="shared" ref="K257:K259" si="40">+J257*G257</f>
        <v>4.9607833333333327</v>
      </c>
      <c r="L257" s="98">
        <f>+K257/Tiempos!$B$11</f>
        <v>1.0784311594202897E-2</v>
      </c>
      <c r="M257" s="261">
        <f>+K257/Tiempos!$B$12</f>
        <v>5.3921557971014483E-3</v>
      </c>
      <c r="N257" s="238"/>
      <c r="O257" s="238"/>
      <c r="P257" s="238"/>
      <c r="Q257" s="261"/>
    </row>
    <row r="258" spans="1:34" x14ac:dyDescent="0.35">
      <c r="A258" s="81"/>
      <c r="B258" s="81">
        <v>2</v>
      </c>
      <c r="C258" s="83">
        <v>1</v>
      </c>
      <c r="D258" s="83" t="s">
        <v>69</v>
      </c>
      <c r="E258" s="99" t="s">
        <v>591</v>
      </c>
      <c r="F258" s="81" t="str">
        <f t="shared" si="37"/>
        <v>CHI_GRA_SUM</v>
      </c>
      <c r="G258" s="143">
        <f>VLOOKUP(F258,Volumenes!$D$20:$F$184,3,FALSE)</f>
        <v>8.0799999999999983</v>
      </c>
      <c r="H258" s="97"/>
      <c r="I258" s="98">
        <f>35/60</f>
        <v>0.58333333333333337</v>
      </c>
      <c r="J258" s="110">
        <f>+I258*(1+Tiempos!$C$17)</f>
        <v>0.61395833333333338</v>
      </c>
      <c r="K258" s="98">
        <f t="shared" si="40"/>
        <v>4.9607833333333327</v>
      </c>
      <c r="L258" s="98">
        <f>+K258/Tiempos!$B$11</f>
        <v>1.0784311594202897E-2</v>
      </c>
      <c r="M258" s="261">
        <f>+K258/Tiempos!$B$12</f>
        <v>5.3921557971014483E-3</v>
      </c>
      <c r="N258" s="238"/>
      <c r="O258" s="238"/>
      <c r="P258" s="238"/>
      <c r="Q258" s="261"/>
    </row>
    <row r="259" spans="1:34" x14ac:dyDescent="0.35">
      <c r="A259" s="81"/>
      <c r="B259" s="81">
        <v>2</v>
      </c>
      <c r="C259" s="83">
        <v>1</v>
      </c>
      <c r="D259" s="83" t="s">
        <v>69</v>
      </c>
      <c r="E259" s="99" t="s">
        <v>617</v>
      </c>
      <c r="F259" s="81" t="str">
        <f t="shared" si="37"/>
        <v>CHI_GRA_SUM</v>
      </c>
      <c r="G259" s="143">
        <f>VLOOKUP(F259,Volumenes!$D$20:$F$184,3,FALSE)</f>
        <v>8.0799999999999983</v>
      </c>
      <c r="H259" s="97"/>
      <c r="I259" s="98">
        <f>50/60</f>
        <v>0.83333333333333337</v>
      </c>
      <c r="J259" s="110">
        <f>+I259*(1+Tiempos!$C$17)</f>
        <v>0.87708333333333333</v>
      </c>
      <c r="K259" s="98">
        <f t="shared" si="40"/>
        <v>7.086833333333332</v>
      </c>
      <c r="L259" s="98">
        <f>+K259/Tiempos!$B$11</f>
        <v>1.5406159420289852E-2</v>
      </c>
      <c r="M259" s="261">
        <f>+K259/Tiempos!$B$12</f>
        <v>7.7030797101449262E-3</v>
      </c>
      <c r="N259" s="238"/>
      <c r="O259" s="238"/>
      <c r="P259" s="238"/>
      <c r="Q259" s="261"/>
    </row>
    <row r="260" spans="1:34" x14ac:dyDescent="0.35">
      <c r="A260" s="92"/>
      <c r="B260" s="92">
        <v>2</v>
      </c>
      <c r="C260" s="100">
        <v>1</v>
      </c>
      <c r="D260" s="100" t="s">
        <v>69</v>
      </c>
      <c r="E260" s="101" t="s">
        <v>602</v>
      </c>
      <c r="F260" s="92" t="str">
        <f>+Volumenes!D183</f>
        <v>CHI_VAC_REC</v>
      </c>
      <c r="G260" s="144">
        <f>VLOOKUP(F260,Volumenes!$D$20:$F$184,3,FALSE)</f>
        <v>8.0799999999999983</v>
      </c>
      <c r="H260" s="102">
        <f>VLOOKUP(F260,Tiempos!$D$42:$F$228,2,FALSE)</f>
        <v>115</v>
      </c>
      <c r="I260" s="103">
        <f>VLOOKUP(F260,Tiempos!D66:F169,3,FALSE)</f>
        <v>0.98290598290598297</v>
      </c>
      <c r="J260" s="111">
        <f>+I260*(1+Tiempos!$C$17)</f>
        <v>1.0345085470085471</v>
      </c>
      <c r="K260" s="103">
        <f>+J260*G260</f>
        <v>8.3588290598290591</v>
      </c>
      <c r="L260" s="103">
        <f>+K260/Tiempos!$B$11</f>
        <v>1.8171367521367519E-2</v>
      </c>
      <c r="M260" s="262">
        <f>+K260/Tiempos!$B$12</f>
        <v>9.0856837606837597E-3</v>
      </c>
      <c r="N260" s="243"/>
      <c r="O260" s="243"/>
      <c r="P260" s="243"/>
      <c r="Q260" s="262"/>
    </row>
    <row r="261" spans="1:34" x14ac:dyDescent="0.35">
      <c r="A261" s="92"/>
      <c r="B261" s="92">
        <v>2</v>
      </c>
      <c r="C261" s="100">
        <v>1</v>
      </c>
      <c r="D261" s="100" t="s">
        <v>69</v>
      </c>
      <c r="E261" s="101" t="s">
        <v>616</v>
      </c>
      <c r="F261" s="92" t="s">
        <v>604</v>
      </c>
      <c r="G261" s="144">
        <f>VLOOKUP(F261,Volumenes!$D$20:$F$184,3,FALSE)</f>
        <v>8.0799999999999983</v>
      </c>
      <c r="H261" s="102">
        <f>VLOOKUP(F261,Tiempos!$D$42:$F$228,2,FALSE)</f>
        <v>190</v>
      </c>
      <c r="I261" s="103">
        <f>VLOOKUP(F261,Tiempos!D67:F170,3,FALSE)</f>
        <v>1.6239316239316242</v>
      </c>
      <c r="J261" s="111">
        <f>+I261*(1+Tiempos!$C$17)</f>
        <v>1.7091880341880343</v>
      </c>
      <c r="K261" s="103">
        <f>+J261*G261</f>
        <v>13.810239316239315</v>
      </c>
      <c r="L261" s="103">
        <f>+K261/Tiempos!$B$11</f>
        <v>3.0022259383128944E-2</v>
      </c>
      <c r="M261" s="262">
        <f>+K261/Tiempos!$B$12</f>
        <v>1.5011129691564472E-2</v>
      </c>
      <c r="N261" s="243"/>
      <c r="O261" s="243"/>
      <c r="P261" s="243"/>
      <c r="Q261" s="262"/>
    </row>
    <row r="262" spans="1:34" x14ac:dyDescent="0.35">
      <c r="A262" s="75"/>
      <c r="B262" s="75"/>
      <c r="E262" s="104"/>
      <c r="F262" s="75"/>
      <c r="G262" s="108"/>
      <c r="H262" s="105"/>
      <c r="I262" s="106"/>
      <c r="J262" s="107"/>
      <c r="K262" s="109"/>
      <c r="L262" s="98">
        <f>SUM(L253:L261)</f>
        <v>0.11733963062058711</v>
      </c>
      <c r="M262" s="98">
        <f>SUM(M253:M261)</f>
        <v>5.8669815310293555E-2</v>
      </c>
      <c r="N262" s="141"/>
      <c r="O262" s="141"/>
      <c r="P262" s="141"/>
      <c r="Q262" s="141"/>
    </row>
    <row r="263" spans="1:34" x14ac:dyDescent="0.35">
      <c r="A263" s="75"/>
      <c r="B263" s="75"/>
      <c r="E263" s="104"/>
      <c r="F263" s="75"/>
      <c r="G263" s="108"/>
      <c r="H263" s="105"/>
      <c r="I263" s="106"/>
      <c r="J263" s="107"/>
      <c r="K263" s="109"/>
      <c r="L263" s="109"/>
      <c r="M263" s="109"/>
      <c r="N263" s="249"/>
      <c r="O263" s="249"/>
      <c r="P263" s="249"/>
      <c r="Q263" s="249"/>
    </row>
    <row r="264" spans="1:34" ht="13.15" x14ac:dyDescent="0.4">
      <c r="A264" s="84" t="s">
        <v>626</v>
      </c>
      <c r="B264" s="84"/>
      <c r="C264" s="70"/>
      <c r="D264" s="70"/>
      <c r="E264" s="94"/>
      <c r="F264" s="80"/>
      <c r="G264" s="80"/>
      <c r="H264" s="80"/>
      <c r="I264" s="80"/>
      <c r="J264" s="80"/>
      <c r="K264" s="80"/>
      <c r="L264" s="80"/>
      <c r="R264" s="84"/>
      <c r="S264" s="84"/>
      <c r="T264" s="70"/>
      <c r="U264" s="70"/>
      <c r="V264" s="94"/>
      <c r="W264" s="80"/>
      <c r="X264" s="80"/>
      <c r="Y264" s="80"/>
      <c r="Z264" s="80"/>
      <c r="AA264" s="80"/>
      <c r="AB264" s="80"/>
      <c r="AC264" s="80"/>
      <c r="AD264" s="74"/>
      <c r="AE264" s="74"/>
      <c r="AF264" s="74"/>
      <c r="AG264" s="74"/>
      <c r="AH264" s="74"/>
    </row>
    <row r="265" spans="1:34" x14ac:dyDescent="0.35">
      <c r="A265" s="81"/>
      <c r="B265" s="81">
        <v>2</v>
      </c>
      <c r="C265" s="83">
        <v>1</v>
      </c>
      <c r="D265" s="83" t="s">
        <v>69</v>
      </c>
      <c r="E265" s="99" t="s">
        <v>587</v>
      </c>
      <c r="F265" s="81" t="str">
        <f>+Volumenes!D180</f>
        <v>CHI_SUM_L3</v>
      </c>
      <c r="G265" s="143">
        <f>VLOOKUP(F265,Volumenes!$D$20:$F$184,3,FALSE)</f>
        <v>3.9739999999999998</v>
      </c>
      <c r="H265" s="97"/>
      <c r="I265" s="98">
        <f>8/60</f>
        <v>0.13333333333333333</v>
      </c>
      <c r="J265" s="110">
        <f>+I265*(1+Tiempos!$C$17)</f>
        <v>0.14033333333333334</v>
      </c>
      <c r="K265" s="98">
        <f>+J265*G265</f>
        <v>0.55768466666666661</v>
      </c>
      <c r="L265" s="98">
        <f>+K265/Tiempos!$B$11</f>
        <v>1.2123579710144926E-3</v>
      </c>
      <c r="M265" s="261">
        <f>+K265/Tiempos!$B$12</f>
        <v>6.0617898550724631E-4</v>
      </c>
      <c r="N265" s="238"/>
      <c r="O265" s="238"/>
      <c r="P265" s="238"/>
      <c r="Q265" s="261"/>
      <c r="R265" s="75"/>
      <c r="S265" s="75"/>
      <c r="T265" s="44"/>
      <c r="U265" s="44"/>
      <c r="V265" s="104"/>
      <c r="W265" s="75"/>
      <c r="X265" s="152"/>
      <c r="Y265" s="105"/>
      <c r="Z265" s="109"/>
      <c r="AA265" s="107"/>
      <c r="AB265" s="109"/>
      <c r="AC265" s="109"/>
      <c r="AD265" s="64"/>
      <c r="AE265" s="74"/>
      <c r="AF265" s="74"/>
      <c r="AG265" s="74"/>
      <c r="AH265" s="64"/>
    </row>
    <row r="266" spans="1:34" x14ac:dyDescent="0.35">
      <c r="A266" s="81"/>
      <c r="B266" s="81">
        <v>2</v>
      </c>
      <c r="C266" s="83">
        <v>1</v>
      </c>
      <c r="D266" s="83" t="s">
        <v>69</v>
      </c>
      <c r="E266" s="99" t="s">
        <v>588</v>
      </c>
      <c r="F266" s="81" t="str">
        <f>+F265</f>
        <v>CHI_SUM_L3</v>
      </c>
      <c r="G266" s="143">
        <f>VLOOKUP(F266,Volumenes!$D$20:$F$184,3,FALSE)</f>
        <v>3.9739999999999998</v>
      </c>
      <c r="H266" s="97"/>
      <c r="I266" s="98">
        <f>15/60</f>
        <v>0.25</v>
      </c>
      <c r="J266" s="110">
        <f>+I266*(1+Tiempos!$C$17)</f>
        <v>0.263125</v>
      </c>
      <c r="K266" s="98">
        <f t="shared" ref="K266:K269" si="41">+J266*G266</f>
        <v>1.0456587499999999</v>
      </c>
      <c r="L266" s="98">
        <f>+K266/Tiempos!$B$11</f>
        <v>2.2731711956521738E-3</v>
      </c>
      <c r="M266" s="261">
        <f>+K266/Tiempos!$B$12</f>
        <v>1.1365855978260869E-3</v>
      </c>
      <c r="N266" s="238"/>
      <c r="O266" s="238"/>
      <c r="P266" s="238"/>
      <c r="Q266" s="261"/>
      <c r="R266" s="75"/>
      <c r="S266" s="75"/>
      <c r="T266" s="44"/>
      <c r="U266" s="44"/>
      <c r="V266" s="104"/>
      <c r="W266" s="75"/>
      <c r="X266" s="152"/>
      <c r="Y266" s="105"/>
      <c r="Z266" s="109"/>
      <c r="AA266" s="107"/>
      <c r="AB266" s="109"/>
      <c r="AC266" s="109"/>
      <c r="AD266" s="64"/>
      <c r="AE266" s="74"/>
      <c r="AF266" s="74"/>
      <c r="AG266" s="74"/>
      <c r="AH266" s="64"/>
    </row>
    <row r="267" spans="1:34" x14ac:dyDescent="0.35">
      <c r="A267" s="92"/>
      <c r="B267" s="92">
        <v>2</v>
      </c>
      <c r="C267" s="100">
        <v>1</v>
      </c>
      <c r="D267" s="100" t="s">
        <v>69</v>
      </c>
      <c r="E267" s="101" t="s">
        <v>614</v>
      </c>
      <c r="F267" s="92" t="str">
        <f>+F266</f>
        <v>CHI_SUM_L3</v>
      </c>
      <c r="G267" s="144">
        <f>VLOOKUP(F267,Volumenes!$D$20:$F$184,3,FALSE)</f>
        <v>3.9739999999999998</v>
      </c>
      <c r="H267" s="102">
        <f>VLOOKUP(F267,Tiempos!$D$42:$F$228,2,FALSE)</f>
        <v>155</v>
      </c>
      <c r="I267" s="103">
        <f>VLOOKUP(F267,Tiempos!D74:F176,3,FALSE)</f>
        <v>1.3247863247863247</v>
      </c>
      <c r="J267" s="111">
        <f>+I267*(1+Tiempos!$C$17)</f>
        <v>1.3943376068376068</v>
      </c>
      <c r="K267" s="103">
        <f t="shared" si="41"/>
        <v>5.5410976495726487</v>
      </c>
      <c r="L267" s="103">
        <f>+K267/Tiempos!$B$11</f>
        <v>1.2045864455592714E-2</v>
      </c>
      <c r="M267" s="262">
        <f>+K267/Tiempos!$B$12</f>
        <v>6.0229322277963572E-3</v>
      </c>
      <c r="N267" s="243"/>
      <c r="O267" s="243"/>
      <c r="P267" s="243"/>
      <c r="Q267" s="262"/>
      <c r="R267" s="75"/>
      <c r="S267" s="75"/>
      <c r="T267" s="44"/>
      <c r="U267" s="44"/>
      <c r="V267" s="104"/>
      <c r="W267" s="75"/>
      <c r="X267" s="152"/>
      <c r="Y267" s="105"/>
      <c r="Z267" s="109"/>
      <c r="AA267" s="107"/>
      <c r="AB267" s="109"/>
      <c r="AC267" s="109"/>
      <c r="AD267" s="64"/>
      <c r="AE267" s="74"/>
      <c r="AF267" s="74"/>
      <c r="AG267" s="74"/>
      <c r="AH267" s="64"/>
    </row>
    <row r="268" spans="1:34" x14ac:dyDescent="0.35">
      <c r="A268" s="81"/>
      <c r="B268" s="81">
        <v>2</v>
      </c>
      <c r="C268" s="83">
        <v>1</v>
      </c>
      <c r="D268" s="83" t="s">
        <v>69</v>
      </c>
      <c r="E268" s="99" t="s">
        <v>613</v>
      </c>
      <c r="F268" s="81" t="str">
        <f>+F267</f>
        <v>CHI_SUM_L3</v>
      </c>
      <c r="G268" s="143">
        <f>VLOOKUP(F268,Volumenes!$D$20:$F$184,3,FALSE)</f>
        <v>3.9739999999999998</v>
      </c>
      <c r="H268" s="97"/>
      <c r="I268" s="98">
        <f>25/60</f>
        <v>0.41666666666666669</v>
      </c>
      <c r="J268" s="110">
        <f>+I268*(1+Tiempos!$C$17)</f>
        <v>0.43854166666666666</v>
      </c>
      <c r="K268" s="98">
        <f t="shared" si="41"/>
        <v>1.7427645833333332</v>
      </c>
      <c r="L268" s="98">
        <f>+K268/Tiempos!$B$11</f>
        <v>3.7886186594202893E-3</v>
      </c>
      <c r="M268" s="261">
        <f>+K268/Tiempos!$B$12</f>
        <v>1.8943093297101447E-3</v>
      </c>
      <c r="N268" s="238"/>
      <c r="O268" s="238"/>
      <c r="P268" s="238"/>
      <c r="Q268" s="261"/>
      <c r="R268" s="75"/>
      <c r="S268" s="75"/>
      <c r="T268" s="44"/>
      <c r="U268" s="44"/>
      <c r="V268" s="104"/>
      <c r="W268" s="75"/>
      <c r="X268" s="152"/>
      <c r="Y268" s="105"/>
      <c r="Z268" s="109"/>
      <c r="AA268" s="107"/>
      <c r="AB268" s="109"/>
      <c r="AC268" s="109"/>
      <c r="AD268" s="64"/>
      <c r="AE268" s="74"/>
      <c r="AF268" s="74"/>
      <c r="AG268" s="74"/>
      <c r="AH268" s="64"/>
    </row>
    <row r="269" spans="1:34" x14ac:dyDescent="0.35">
      <c r="A269" s="81"/>
      <c r="B269" s="81">
        <v>2</v>
      </c>
      <c r="C269" s="83">
        <v>1</v>
      </c>
      <c r="D269" s="83" t="s">
        <v>69</v>
      </c>
      <c r="E269" s="99" t="s">
        <v>615</v>
      </c>
      <c r="F269" s="81" t="str">
        <f>+Volumenes!D119</f>
        <v>SUM_CHI_L3</v>
      </c>
      <c r="G269" s="143">
        <f>VLOOKUP(F269,Volumenes!$D$20:$F$184,3,FALSE)</f>
        <v>1</v>
      </c>
      <c r="H269" s="97"/>
      <c r="I269" s="98">
        <f>50/60</f>
        <v>0.83333333333333337</v>
      </c>
      <c r="J269" s="110">
        <f>+I269*(1+Tiempos!$C$17)</f>
        <v>0.87708333333333333</v>
      </c>
      <c r="K269" s="98">
        <f t="shared" si="41"/>
        <v>0.87708333333333333</v>
      </c>
      <c r="L269" s="98">
        <f>+K269/Tiempos!$B$11</f>
        <v>1.9067028985507246E-3</v>
      </c>
      <c r="M269" s="261">
        <f>+K269/Tiempos!$B$12</f>
        <v>9.5335144927536232E-4</v>
      </c>
      <c r="N269" s="238"/>
      <c r="O269" s="238"/>
      <c r="P269" s="238"/>
      <c r="Q269" s="261"/>
      <c r="R269" s="75"/>
      <c r="S269" s="75"/>
      <c r="T269" s="44"/>
      <c r="U269" s="44"/>
      <c r="V269" s="104"/>
      <c r="W269" s="75"/>
      <c r="X269" s="152"/>
      <c r="Y269" s="105"/>
      <c r="Z269" s="109"/>
      <c r="AA269" s="107"/>
      <c r="AB269" s="109"/>
      <c r="AC269" s="109"/>
      <c r="AD269" s="64"/>
      <c r="AE269" s="74"/>
      <c r="AF269" s="74"/>
      <c r="AG269" s="74"/>
      <c r="AH269" s="64"/>
    </row>
    <row r="270" spans="1:34" x14ac:dyDescent="0.35">
      <c r="A270" s="92"/>
      <c r="B270" s="92">
        <v>2</v>
      </c>
      <c r="C270" s="100">
        <v>1</v>
      </c>
      <c r="D270" s="100" t="s">
        <v>69</v>
      </c>
      <c r="E270" s="101" t="s">
        <v>602</v>
      </c>
      <c r="F270" s="92" t="str">
        <f>+Volumenes!D119</f>
        <v>SUM_CHI_L3</v>
      </c>
      <c r="G270" s="144">
        <f>VLOOKUP(F270,Volumenes!$D$20:$F$184,3,FALSE)</f>
        <v>1</v>
      </c>
      <c r="H270" s="102">
        <v>65</v>
      </c>
      <c r="I270" s="103">
        <f>+(H270/Tiempos!B29)/60</f>
        <v>0.55555555555555558</v>
      </c>
      <c r="J270" s="111">
        <f>+I270*(1+Tiempos!$C$17)</f>
        <v>0.58472222222222225</v>
      </c>
      <c r="K270" s="103">
        <f>+J270*G270</f>
        <v>0.58472222222222225</v>
      </c>
      <c r="L270" s="103">
        <f>+K270/Tiempos!$B$11</f>
        <v>1.2711352657004832E-3</v>
      </c>
      <c r="M270" s="262">
        <f>+K270/Tiempos!$B$12</f>
        <v>6.3556763285024158E-4</v>
      </c>
      <c r="N270" s="243"/>
      <c r="O270" s="243"/>
      <c r="P270" s="243"/>
      <c r="Q270" s="262"/>
      <c r="R270" s="75"/>
      <c r="S270" s="75"/>
      <c r="T270" s="44"/>
      <c r="U270" s="44"/>
      <c r="V270" s="104"/>
      <c r="W270" s="75"/>
      <c r="X270" s="152"/>
      <c r="Y270" s="105"/>
      <c r="Z270" s="109"/>
      <c r="AA270" s="107"/>
      <c r="AB270" s="109"/>
      <c r="AC270" s="109"/>
      <c r="AD270" s="64"/>
      <c r="AE270" s="74"/>
      <c r="AF270" s="74"/>
      <c r="AG270" s="74"/>
      <c r="AH270" s="64"/>
    </row>
    <row r="271" spans="1:34" x14ac:dyDescent="0.35">
      <c r="A271" s="92"/>
      <c r="B271" s="92">
        <v>2</v>
      </c>
      <c r="C271" s="100">
        <v>1</v>
      </c>
      <c r="D271" s="100" t="s">
        <v>69</v>
      </c>
      <c r="E271" s="101" t="s">
        <v>616</v>
      </c>
      <c r="F271" s="92" t="str">
        <f>+F267</f>
        <v>CHI_SUM_L3</v>
      </c>
      <c r="G271" s="144">
        <f>VLOOKUP(F271,Volumenes!$D$20:$F$184,3,FALSE)</f>
        <v>3.9739999999999998</v>
      </c>
      <c r="H271" s="102">
        <f>VLOOKUP(F271,Tiempos!$D$42:$F$228,2,FALSE)</f>
        <v>155</v>
      </c>
      <c r="I271" s="103">
        <f>VLOOKUP(F271,Tiempos!D80:F182,3,FALSE)</f>
        <v>1.3247863247863247</v>
      </c>
      <c r="J271" s="111">
        <f>+I271*(1+Tiempos!$C$17)</f>
        <v>1.3943376068376068</v>
      </c>
      <c r="K271" s="103">
        <f>+J271*G271</f>
        <v>5.5410976495726487</v>
      </c>
      <c r="L271" s="103">
        <f>+K271/Tiempos!$B$11</f>
        <v>1.2045864455592714E-2</v>
      </c>
      <c r="M271" s="262">
        <f>+K271/Tiempos!$B$12</f>
        <v>6.0229322277963572E-3</v>
      </c>
      <c r="N271" s="243"/>
      <c r="O271" s="243"/>
      <c r="P271" s="243"/>
      <c r="Q271" s="262"/>
      <c r="R271" s="75"/>
      <c r="S271" s="75"/>
      <c r="T271" s="44"/>
      <c r="U271" s="44"/>
      <c r="V271" s="104"/>
      <c r="W271" s="75"/>
      <c r="X271" s="152"/>
      <c r="Y271" s="105"/>
      <c r="Z271" s="109"/>
      <c r="AA271" s="107"/>
      <c r="AB271" s="109"/>
      <c r="AC271" s="109"/>
      <c r="AD271" s="64"/>
      <c r="AE271" s="74"/>
      <c r="AF271" s="74"/>
      <c r="AG271" s="74"/>
      <c r="AH271" s="64"/>
    </row>
    <row r="272" spans="1:34" x14ac:dyDescent="0.35">
      <c r="A272" s="81"/>
      <c r="B272" s="81">
        <v>2</v>
      </c>
      <c r="C272" s="83">
        <v>1</v>
      </c>
      <c r="D272" s="83" t="s">
        <v>333</v>
      </c>
      <c r="E272" s="99" t="s">
        <v>623</v>
      </c>
      <c r="F272" s="81" t="str">
        <f t="shared" ref="F272:F273" si="42">+F271</f>
        <v>CHI_SUM_L3</v>
      </c>
      <c r="G272" s="143">
        <f>VLOOKUP(F272,Volumenes!$D$20:$F$184,3,FALSE)</f>
        <v>3.9739999999999998</v>
      </c>
      <c r="H272" s="97"/>
      <c r="I272" s="98">
        <f>8/60</f>
        <v>0.13333333333333333</v>
      </c>
      <c r="J272" s="110">
        <f>+I272*(1+Tiempos!$C$17)</f>
        <v>0.14033333333333334</v>
      </c>
      <c r="K272" s="98">
        <f t="shared" ref="K272:K273" si="43">+J272*G272</f>
        <v>0.55768466666666661</v>
      </c>
      <c r="L272" s="98">
        <f>+K272/Tiempos!$B$11</f>
        <v>1.2123579710144926E-3</v>
      </c>
      <c r="M272" s="261">
        <f>+K272/Tiempos!$B$12</f>
        <v>6.0617898550724631E-4</v>
      </c>
      <c r="N272" s="238"/>
      <c r="O272" s="238"/>
      <c r="P272" s="238"/>
      <c r="Q272" s="261"/>
    </row>
    <row r="273" spans="1:34" x14ac:dyDescent="0.35">
      <c r="A273" s="81"/>
      <c r="B273" s="81">
        <v>2</v>
      </c>
      <c r="C273" s="83">
        <v>1</v>
      </c>
      <c r="D273" s="83" t="s">
        <v>333</v>
      </c>
      <c r="E273" s="99" t="s">
        <v>624</v>
      </c>
      <c r="F273" s="81" t="str">
        <f t="shared" si="42"/>
        <v>CHI_SUM_L3</v>
      </c>
      <c r="G273" s="143">
        <f>VLOOKUP(F273,Volumenes!$D$20:$F$184,3,FALSE)</f>
        <v>3.9739999999999998</v>
      </c>
      <c r="H273" s="97"/>
      <c r="I273" s="98">
        <f>8/60</f>
        <v>0.13333333333333333</v>
      </c>
      <c r="J273" s="110">
        <f>+I273*(1+Tiempos!$C$17)</f>
        <v>0.14033333333333334</v>
      </c>
      <c r="K273" s="98">
        <f t="shared" si="43"/>
        <v>0.55768466666666661</v>
      </c>
      <c r="L273" s="98">
        <f>+K273/Tiempos!$B$11</f>
        <v>1.2123579710144926E-3</v>
      </c>
      <c r="M273" s="261">
        <f>+K273/Tiempos!$B$12</f>
        <v>6.0617898550724631E-4</v>
      </c>
      <c r="N273" s="238"/>
      <c r="O273" s="238"/>
      <c r="P273" s="238"/>
      <c r="Q273" s="261"/>
    </row>
    <row r="274" spans="1:34" x14ac:dyDescent="0.35">
      <c r="A274" s="75"/>
      <c r="B274" s="75"/>
      <c r="E274" s="104"/>
      <c r="F274" s="75"/>
      <c r="G274" s="108"/>
      <c r="H274" s="105"/>
      <c r="I274" s="106"/>
      <c r="J274" s="107"/>
      <c r="K274" s="109"/>
      <c r="L274" s="98">
        <f>SUM(L265:L273)</f>
        <v>3.6968430843552579E-2</v>
      </c>
      <c r="M274" s="98">
        <f>SUM(M265:M273)</f>
        <v>1.8484215421776289E-2</v>
      </c>
      <c r="N274" s="141"/>
      <c r="O274" s="141"/>
      <c r="P274" s="141"/>
      <c r="Q274" s="141"/>
      <c r="R274" s="75"/>
      <c r="S274" s="75"/>
      <c r="T274" s="44"/>
      <c r="U274" s="44"/>
      <c r="V274" s="104"/>
      <c r="W274" s="75"/>
      <c r="X274" s="152"/>
      <c r="Y274" s="105"/>
      <c r="Z274" s="109"/>
      <c r="AA274" s="107"/>
      <c r="AB274" s="109"/>
      <c r="AC274" s="109"/>
      <c r="AD274" s="64"/>
      <c r="AE274" s="74"/>
      <c r="AF274" s="74"/>
      <c r="AG274" s="74"/>
      <c r="AH274" s="64"/>
    </row>
    <row r="275" spans="1:34" x14ac:dyDescent="0.35">
      <c r="A275" s="75"/>
      <c r="B275" s="75"/>
      <c r="E275" s="104"/>
      <c r="F275" s="75"/>
      <c r="G275" s="108"/>
      <c r="H275" s="105"/>
      <c r="I275" s="106"/>
      <c r="J275" s="107"/>
      <c r="K275" s="109"/>
      <c r="L275" s="109"/>
      <c r="M275" s="109"/>
      <c r="N275" s="249"/>
      <c r="O275" s="249"/>
      <c r="P275" s="249"/>
      <c r="Q275" s="109"/>
    </row>
    <row r="276" spans="1:34" ht="13.15" x14ac:dyDescent="0.4">
      <c r="A276" s="84" t="s">
        <v>627</v>
      </c>
      <c r="B276" s="84"/>
      <c r="C276" s="70"/>
      <c r="D276" s="70"/>
      <c r="E276" s="94"/>
      <c r="F276" s="80"/>
      <c r="G276" s="80"/>
      <c r="H276" s="80"/>
      <c r="I276" s="80"/>
      <c r="J276" s="80"/>
      <c r="K276" s="80"/>
      <c r="L276" s="80"/>
    </row>
    <row r="277" spans="1:34" x14ac:dyDescent="0.35">
      <c r="A277" s="81"/>
      <c r="B277" s="81">
        <v>2</v>
      </c>
      <c r="C277" s="83">
        <v>1</v>
      </c>
      <c r="D277" s="83" t="s">
        <v>46</v>
      </c>
      <c r="E277" s="99" t="s">
        <v>303</v>
      </c>
      <c r="F277" s="81" t="s">
        <v>311</v>
      </c>
      <c r="G277" s="180">
        <f>VLOOKUP(F277,Volumenes!$D$20:$F$184,3,FALSE)</f>
        <v>2</v>
      </c>
      <c r="H277" s="97"/>
      <c r="I277" s="98">
        <f>5/60</f>
        <v>8.3333333333333329E-2</v>
      </c>
      <c r="J277" s="110">
        <f>+I277*(1+Tiempos!$C$17)</f>
        <v>8.7708333333333333E-2</v>
      </c>
      <c r="K277" s="98">
        <f t="shared" ref="K277:K285" si="44">+J277*G277</f>
        <v>0.17541666666666667</v>
      </c>
      <c r="L277" s="98">
        <f>+K277/Tiempos!$B$11</f>
        <v>3.8134057971014494E-4</v>
      </c>
      <c r="M277" s="238"/>
      <c r="N277" s="238"/>
      <c r="O277" s="238"/>
      <c r="P277" s="238"/>
      <c r="Q277" s="238"/>
    </row>
    <row r="278" spans="1:34" x14ac:dyDescent="0.35">
      <c r="A278" s="92"/>
      <c r="B278" s="92">
        <v>2</v>
      </c>
      <c r="C278" s="100">
        <v>1</v>
      </c>
      <c r="D278" s="100" t="s">
        <v>46</v>
      </c>
      <c r="E278" s="101" t="s">
        <v>315</v>
      </c>
      <c r="F278" s="92" t="s">
        <v>317</v>
      </c>
      <c r="G278" s="102">
        <f>VLOOKUP(F278,Volumenes!$D$20:$F$184,3,FALSE)</f>
        <v>2</v>
      </c>
      <c r="H278" s="102">
        <v>30</v>
      </c>
      <c r="I278" s="103">
        <f>+(H278/Tiempos!B28)/60</f>
        <v>0.33967391304347827</v>
      </c>
      <c r="J278" s="111">
        <f>+I278*(1+Tiempos!$C$17)</f>
        <v>0.35750679347826086</v>
      </c>
      <c r="K278" s="103">
        <f t="shared" si="44"/>
        <v>0.71501358695652173</v>
      </c>
      <c r="L278" s="103">
        <f>+K278/Tiempos!$B$11</f>
        <v>1.5543773629489602E-3</v>
      </c>
      <c r="M278" s="243"/>
      <c r="N278" s="243"/>
      <c r="O278" s="243"/>
      <c r="P278" s="243"/>
      <c r="Q278" s="243"/>
    </row>
    <row r="279" spans="1:34" x14ac:dyDescent="0.35">
      <c r="A279" s="92"/>
      <c r="B279" s="92">
        <v>2</v>
      </c>
      <c r="C279" s="100">
        <v>1</v>
      </c>
      <c r="D279" s="100" t="s">
        <v>46</v>
      </c>
      <c r="E279" s="101" t="s">
        <v>305</v>
      </c>
      <c r="F279" s="92" t="s">
        <v>311</v>
      </c>
      <c r="G279" s="102">
        <f>VLOOKUP(F279,Volumenes!$D$20:$F$184,3,FALSE)</f>
        <v>2</v>
      </c>
      <c r="H279" s="102">
        <f>+Tiempos!E83</f>
        <v>250</v>
      </c>
      <c r="I279" s="103">
        <f>+Tiempos!F83</f>
        <v>2.1367521367521367</v>
      </c>
      <c r="J279" s="111">
        <f>+I279*(1+Tiempos!$C$17)</f>
        <v>2.2489316239316239</v>
      </c>
      <c r="K279" s="103">
        <f t="shared" si="44"/>
        <v>4.4978632478632479</v>
      </c>
      <c r="L279" s="103">
        <f>+K279/Tiempos!$B$11</f>
        <v>9.7779635823114081E-3</v>
      </c>
      <c r="M279" s="243"/>
      <c r="N279" s="243"/>
      <c r="O279" s="243"/>
      <c r="P279" s="243"/>
      <c r="Q279" s="243"/>
    </row>
    <row r="280" spans="1:34" x14ac:dyDescent="0.35">
      <c r="A280" s="81"/>
      <c r="B280" s="81">
        <v>2</v>
      </c>
      <c r="C280" s="83">
        <v>1</v>
      </c>
      <c r="D280" s="83" t="s">
        <v>46</v>
      </c>
      <c r="E280" s="99" t="s">
        <v>304</v>
      </c>
      <c r="F280" s="81" t="s">
        <v>313</v>
      </c>
      <c r="G280" s="143">
        <f>VLOOKUP(F280,Volumenes!$D$20:$F$184,3,FALSE)</f>
        <v>4.8507609513338314</v>
      </c>
      <c r="H280" s="97"/>
      <c r="I280" s="98">
        <f>10/60</f>
        <v>0.16666666666666666</v>
      </c>
      <c r="J280" s="110">
        <f>+I280*(1+Tiempos!$C$17)</f>
        <v>0.17541666666666667</v>
      </c>
      <c r="K280" s="98">
        <f t="shared" si="44"/>
        <v>0.85090431687980961</v>
      </c>
      <c r="L280" s="98">
        <f>+K280/Tiempos!$B$11</f>
        <v>1.8497919932169773E-3</v>
      </c>
      <c r="M280" s="238"/>
      <c r="N280" s="238"/>
      <c r="O280" s="238"/>
      <c r="P280" s="238"/>
      <c r="Q280" s="238"/>
    </row>
    <row r="281" spans="1:34" x14ac:dyDescent="0.35">
      <c r="A281" s="81"/>
      <c r="B281" s="81">
        <v>2</v>
      </c>
      <c r="C281" s="83">
        <v>1</v>
      </c>
      <c r="D281" s="83" t="s">
        <v>46</v>
      </c>
      <c r="E281" s="99" t="s">
        <v>306</v>
      </c>
      <c r="F281" s="81" t="s">
        <v>313</v>
      </c>
      <c r="G281" s="143">
        <f>VLOOKUP(F281,Volumenes!$D$20:$F$184,3,FALSE)</f>
        <v>4.8507609513338314</v>
      </c>
      <c r="H281" s="97"/>
      <c r="I281" s="98">
        <f>40/60</f>
        <v>0.66666666666666663</v>
      </c>
      <c r="J281" s="110">
        <f>+I281*(1+Tiempos!$C$17)</f>
        <v>0.70166666666666666</v>
      </c>
      <c r="K281" s="98">
        <f t="shared" si="44"/>
        <v>3.4036172675192384</v>
      </c>
      <c r="L281" s="98">
        <f>+K281/Tiempos!$B$11</f>
        <v>7.3991679728679094E-3</v>
      </c>
      <c r="M281" s="238"/>
      <c r="N281" s="238"/>
      <c r="O281" s="238"/>
      <c r="P281" s="238"/>
      <c r="Q281" s="238"/>
    </row>
    <row r="282" spans="1:34" x14ac:dyDescent="0.35">
      <c r="A282" s="92"/>
      <c r="B282" s="92">
        <v>2</v>
      </c>
      <c r="C282" s="100">
        <v>1</v>
      </c>
      <c r="D282" s="100" t="s">
        <v>46</v>
      </c>
      <c r="E282" s="101" t="s">
        <v>307</v>
      </c>
      <c r="F282" s="92" t="s">
        <v>311</v>
      </c>
      <c r="G282" s="102">
        <f>VLOOKUP(F282,Volumenes!$D$20:$F$184,3,FALSE)</f>
        <v>2</v>
      </c>
      <c r="H282" s="102">
        <f>+Tiempos!E83</f>
        <v>250</v>
      </c>
      <c r="I282" s="103">
        <f>+Tiempos!F83</f>
        <v>2.1367521367521367</v>
      </c>
      <c r="J282" s="111">
        <f>+I282*(1+Tiempos!$C$17)</f>
        <v>2.2489316239316239</v>
      </c>
      <c r="K282" s="103">
        <f t="shared" si="44"/>
        <v>4.4978632478632479</v>
      </c>
      <c r="L282" s="103">
        <f>+K282/Tiempos!$B$11</f>
        <v>9.7779635823114081E-3</v>
      </c>
      <c r="M282" s="243"/>
      <c r="N282" s="243"/>
      <c r="O282" s="243"/>
      <c r="P282" s="243"/>
      <c r="Q282" s="243"/>
    </row>
    <row r="283" spans="1:34" x14ac:dyDescent="0.35">
      <c r="A283" s="81"/>
      <c r="B283" s="81">
        <v>2</v>
      </c>
      <c r="C283" s="83">
        <v>1</v>
      </c>
      <c r="D283" s="83" t="s">
        <v>46</v>
      </c>
      <c r="E283" s="99" t="s">
        <v>308</v>
      </c>
      <c r="F283" s="81" t="str">
        <f t="shared" ref="F283:G285" si="45">+F280</f>
        <v>CAJ_WURTH8.1</v>
      </c>
      <c r="G283" s="143">
        <f t="shared" si="45"/>
        <v>4.8507609513338314</v>
      </c>
      <c r="H283" s="97"/>
      <c r="I283" s="98">
        <f>35/60</f>
        <v>0.58333333333333337</v>
      </c>
      <c r="J283" s="110">
        <f>+I283*(1+Tiempos!$C$17)</f>
        <v>0.61395833333333338</v>
      </c>
      <c r="K283" s="98">
        <f t="shared" si="44"/>
        <v>2.9781651090793337</v>
      </c>
      <c r="L283" s="98">
        <f>+K283/Tiempos!$B$11</f>
        <v>6.4742719762594216E-3</v>
      </c>
      <c r="M283" s="246"/>
      <c r="N283" s="246"/>
      <c r="O283" s="246"/>
      <c r="P283" s="246"/>
      <c r="Q283" s="246"/>
    </row>
    <row r="284" spans="1:34" x14ac:dyDescent="0.35">
      <c r="A284" s="81"/>
      <c r="B284" s="81">
        <v>2</v>
      </c>
      <c r="C284" s="83">
        <v>1</v>
      </c>
      <c r="D284" s="83" t="s">
        <v>46</v>
      </c>
      <c r="E284" s="99" t="s">
        <v>309</v>
      </c>
      <c r="F284" s="81" t="str">
        <f t="shared" si="45"/>
        <v>CAJ_WURTH8.1</v>
      </c>
      <c r="G284" s="143">
        <f t="shared" si="45"/>
        <v>4.8507609513338314</v>
      </c>
      <c r="H284" s="97"/>
      <c r="I284" s="98">
        <f>15/60</f>
        <v>0.25</v>
      </c>
      <c r="J284" s="110">
        <f>+I284*(1+Tiempos!$C$17)</f>
        <v>0.263125</v>
      </c>
      <c r="K284" s="98">
        <f t="shared" si="44"/>
        <v>1.2763564753197143</v>
      </c>
      <c r="L284" s="98">
        <f>+K284/Tiempos!$B$11</f>
        <v>2.774687989825466E-3</v>
      </c>
      <c r="M284" s="246"/>
      <c r="N284" s="246"/>
      <c r="O284" s="246"/>
      <c r="P284" s="246"/>
      <c r="Q284" s="246"/>
    </row>
    <row r="285" spans="1:34" x14ac:dyDescent="0.35">
      <c r="A285" s="81"/>
      <c r="B285" s="81">
        <v>2</v>
      </c>
      <c r="C285" s="83">
        <v>1</v>
      </c>
      <c r="D285" s="83" t="s">
        <v>46</v>
      </c>
      <c r="E285" s="99" t="s">
        <v>310</v>
      </c>
      <c r="F285" s="81" t="str">
        <f t="shared" si="45"/>
        <v>MOV_WURTH8.1</v>
      </c>
      <c r="G285" s="180">
        <f t="shared" si="45"/>
        <v>2</v>
      </c>
      <c r="H285" s="97"/>
      <c r="I285" s="98">
        <f>10/60</f>
        <v>0.16666666666666666</v>
      </c>
      <c r="J285" s="110">
        <f>+I285*(1+Tiempos!$C$17)</f>
        <v>0.17541666666666667</v>
      </c>
      <c r="K285" s="98">
        <f t="shared" si="44"/>
        <v>0.35083333333333333</v>
      </c>
      <c r="L285" s="98">
        <f>+K285/Tiempos!$B$11</f>
        <v>7.6268115942028987E-4</v>
      </c>
      <c r="M285" s="246"/>
      <c r="N285" s="246"/>
      <c r="O285" s="246"/>
      <c r="P285" s="246"/>
      <c r="Q285" s="246"/>
    </row>
    <row r="286" spans="1:34" x14ac:dyDescent="0.35">
      <c r="A286" s="75"/>
      <c r="B286" s="75"/>
      <c r="E286" s="104"/>
      <c r="F286" s="75"/>
      <c r="G286" s="152"/>
      <c r="H286" s="105"/>
      <c r="I286" s="109"/>
      <c r="J286" s="107"/>
      <c r="K286" s="109"/>
      <c r="L286" s="98">
        <f>SUM(L277:L285)</f>
        <v>4.0752246198871987E-2</v>
      </c>
      <c r="M286" s="98">
        <f t="shared" ref="M286:Q286" si="46">SUM(M277:M285)</f>
        <v>0</v>
      </c>
      <c r="N286" s="98">
        <f t="shared" si="46"/>
        <v>0</v>
      </c>
      <c r="O286" s="98"/>
      <c r="P286" s="98">
        <f t="shared" si="46"/>
        <v>0</v>
      </c>
      <c r="Q286" s="98">
        <f t="shared" si="46"/>
        <v>0</v>
      </c>
    </row>
    <row r="287" spans="1:34" x14ac:dyDescent="0.35">
      <c r="A287" s="75"/>
      <c r="B287" s="75"/>
      <c r="E287" s="104"/>
      <c r="F287" s="75"/>
      <c r="G287" s="152"/>
      <c r="H287" s="105"/>
      <c r="I287" s="109"/>
      <c r="J287" s="107"/>
      <c r="K287" s="109"/>
      <c r="L287" s="109"/>
      <c r="M287" s="191"/>
      <c r="N287" s="191"/>
      <c r="O287" s="191"/>
      <c r="P287" s="191"/>
      <c r="Q287" s="191"/>
    </row>
    <row r="288" spans="1:34" ht="13.15" x14ac:dyDescent="0.4">
      <c r="A288" s="84" t="s">
        <v>628</v>
      </c>
      <c r="B288" s="84"/>
      <c r="E288" s="104"/>
      <c r="F288" s="75"/>
      <c r="G288" s="152"/>
      <c r="H288" s="105"/>
      <c r="I288" s="109"/>
      <c r="J288" s="107"/>
      <c r="K288" s="109"/>
      <c r="L288" s="109"/>
      <c r="M288" s="191"/>
      <c r="N288" s="191"/>
      <c r="O288" s="191"/>
      <c r="P288" s="191"/>
      <c r="Q288" s="191"/>
    </row>
    <row r="289" spans="1:17" x14ac:dyDescent="0.35">
      <c r="A289" s="81"/>
      <c r="B289" s="81">
        <v>2</v>
      </c>
      <c r="C289" s="83">
        <v>1</v>
      </c>
      <c r="D289" s="83" t="s">
        <v>46</v>
      </c>
      <c r="E289" s="99" t="s">
        <v>303</v>
      </c>
      <c r="F289" s="81" t="s">
        <v>312</v>
      </c>
      <c r="G289" s="180">
        <f>VLOOKUP(F289,Volumenes!$D$20:$F$184,3,FALSE)</f>
        <v>2</v>
      </c>
      <c r="H289" s="97"/>
      <c r="I289" s="98">
        <f>5/60</f>
        <v>8.3333333333333329E-2</v>
      </c>
      <c r="J289" s="110">
        <f>+I289*(1+Tiempos!$C$17)</f>
        <v>8.7708333333333333E-2</v>
      </c>
      <c r="K289" s="98">
        <f t="shared" ref="K289:K297" si="47">+J289*G289</f>
        <v>0.17541666666666667</v>
      </c>
      <c r="L289" s="98">
        <f>+K289/Tiempos!$B$11</f>
        <v>3.8134057971014494E-4</v>
      </c>
      <c r="M289" s="238"/>
      <c r="N289" s="238"/>
      <c r="O289" s="238"/>
      <c r="P289" s="238"/>
      <c r="Q289" s="238"/>
    </row>
    <row r="290" spans="1:17" x14ac:dyDescent="0.35">
      <c r="A290" s="92"/>
      <c r="B290" s="92">
        <v>2</v>
      </c>
      <c r="C290" s="100">
        <v>1</v>
      </c>
      <c r="D290" s="100" t="s">
        <v>46</v>
      </c>
      <c r="E290" s="101" t="s">
        <v>315</v>
      </c>
      <c r="F290" s="92" t="s">
        <v>319</v>
      </c>
      <c r="G290" s="102">
        <f>VLOOKUP(F290,Volumenes!$D$20:$F$184,3,FALSE)</f>
        <v>2</v>
      </c>
      <c r="H290" s="102">
        <v>30</v>
      </c>
      <c r="I290" s="103">
        <f>+(H290/Tiempos!B28)/60</f>
        <v>0.33967391304347827</v>
      </c>
      <c r="J290" s="111">
        <f>+I290*(1+Tiempos!$C$17)</f>
        <v>0.35750679347826086</v>
      </c>
      <c r="K290" s="103">
        <f t="shared" si="47"/>
        <v>0.71501358695652173</v>
      </c>
      <c r="L290" s="103">
        <f>+K290/Tiempos!$B$11</f>
        <v>1.5543773629489602E-3</v>
      </c>
      <c r="M290" s="243"/>
      <c r="N290" s="243"/>
      <c r="O290" s="243"/>
      <c r="P290" s="243"/>
      <c r="Q290" s="243"/>
    </row>
    <row r="291" spans="1:17" x14ac:dyDescent="0.35">
      <c r="A291" s="92"/>
      <c r="B291" s="92">
        <v>2</v>
      </c>
      <c r="C291" s="100">
        <v>1</v>
      </c>
      <c r="D291" s="100" t="s">
        <v>46</v>
      </c>
      <c r="E291" s="101" t="s">
        <v>305</v>
      </c>
      <c r="F291" s="92" t="s">
        <v>312</v>
      </c>
      <c r="G291" s="102">
        <f>VLOOKUP(F291,Volumenes!$D$20:$F$184,3,FALSE)</f>
        <v>2</v>
      </c>
      <c r="H291" s="102">
        <f>+Tiempos!E83</f>
        <v>250</v>
      </c>
      <c r="I291" s="103">
        <f>+Tiempos!F83</f>
        <v>2.1367521367521367</v>
      </c>
      <c r="J291" s="111">
        <f>+I291*(1+Tiempos!$C$17)</f>
        <v>2.2489316239316239</v>
      </c>
      <c r="K291" s="103">
        <f t="shared" si="47"/>
        <v>4.4978632478632479</v>
      </c>
      <c r="L291" s="103">
        <f>+K291/Tiempos!$B$11</f>
        <v>9.7779635823114081E-3</v>
      </c>
      <c r="M291" s="243"/>
      <c r="N291" s="243"/>
      <c r="O291" s="243"/>
      <c r="P291" s="243"/>
      <c r="Q291" s="243"/>
    </row>
    <row r="292" spans="1:17" x14ac:dyDescent="0.35">
      <c r="A292" s="81"/>
      <c r="B292" s="81">
        <v>2</v>
      </c>
      <c r="C292" s="83">
        <v>1</v>
      </c>
      <c r="D292" s="83" t="s">
        <v>46</v>
      </c>
      <c r="E292" s="99" t="s">
        <v>304</v>
      </c>
      <c r="F292" s="81" t="s">
        <v>314</v>
      </c>
      <c r="G292" s="143">
        <f>VLOOKUP(F292,Volumenes!$D$20:$F$184,3,FALSE)</f>
        <v>3.3952694169116828</v>
      </c>
      <c r="H292" s="97"/>
      <c r="I292" s="98">
        <f>10/60</f>
        <v>0.16666666666666666</v>
      </c>
      <c r="J292" s="110">
        <f>+I292*(1+Tiempos!$C$17)</f>
        <v>0.17541666666666667</v>
      </c>
      <c r="K292" s="98">
        <f t="shared" si="47"/>
        <v>0.59558684354992431</v>
      </c>
      <c r="L292" s="98">
        <f>+K292/Tiempos!$B$11</f>
        <v>1.2947540077172268E-3</v>
      </c>
      <c r="M292" s="238"/>
      <c r="N292" s="238"/>
      <c r="O292" s="238"/>
      <c r="P292" s="238"/>
      <c r="Q292" s="238"/>
    </row>
    <row r="293" spans="1:17" x14ac:dyDescent="0.35">
      <c r="A293" s="81"/>
      <c r="B293" s="81">
        <v>2</v>
      </c>
      <c r="C293" s="83">
        <v>1</v>
      </c>
      <c r="D293" s="83" t="s">
        <v>46</v>
      </c>
      <c r="E293" s="99" t="s">
        <v>306</v>
      </c>
      <c r="F293" s="81" t="s">
        <v>314</v>
      </c>
      <c r="G293" s="143">
        <f>VLOOKUP(F293,Volumenes!$D$20:$F$184,3,FALSE)</f>
        <v>3.3952694169116828</v>
      </c>
      <c r="H293" s="97"/>
      <c r="I293" s="98">
        <f>40/60</f>
        <v>0.66666666666666663</v>
      </c>
      <c r="J293" s="110">
        <f>+I293*(1+Tiempos!$C$17)</f>
        <v>0.70166666666666666</v>
      </c>
      <c r="K293" s="98">
        <f t="shared" si="47"/>
        <v>2.3823473741996972</v>
      </c>
      <c r="L293" s="98">
        <f>+K293/Tiempos!$B$11</f>
        <v>5.1790160308689071E-3</v>
      </c>
      <c r="M293" s="238"/>
      <c r="N293" s="238"/>
      <c r="O293" s="238"/>
      <c r="P293" s="238"/>
      <c r="Q293" s="238"/>
    </row>
    <row r="294" spans="1:17" x14ac:dyDescent="0.35">
      <c r="A294" s="92"/>
      <c r="B294" s="92">
        <v>2</v>
      </c>
      <c r="C294" s="100">
        <v>1</v>
      </c>
      <c r="D294" s="100" t="s">
        <v>46</v>
      </c>
      <c r="E294" s="101" t="s">
        <v>307</v>
      </c>
      <c r="F294" s="92" t="s">
        <v>312</v>
      </c>
      <c r="G294" s="102">
        <f>VLOOKUP(F294,Volumenes!$D$20:$F$184,3,FALSE)</f>
        <v>2</v>
      </c>
      <c r="H294" s="102">
        <f>+Tiempos!E83</f>
        <v>250</v>
      </c>
      <c r="I294" s="103">
        <f>+Tiempos!F83</f>
        <v>2.1367521367521367</v>
      </c>
      <c r="J294" s="111">
        <f>+I294*(1+Tiempos!$C$17)</f>
        <v>2.2489316239316239</v>
      </c>
      <c r="K294" s="103">
        <f t="shared" si="47"/>
        <v>4.4978632478632479</v>
      </c>
      <c r="L294" s="103">
        <f>+K294/Tiempos!$B$11</f>
        <v>9.7779635823114081E-3</v>
      </c>
      <c r="M294" s="243"/>
      <c r="N294" s="243"/>
      <c r="O294" s="243"/>
      <c r="P294" s="243"/>
      <c r="Q294" s="243"/>
    </row>
    <row r="295" spans="1:17" x14ac:dyDescent="0.35">
      <c r="A295" s="81"/>
      <c r="B295" s="81">
        <v>2</v>
      </c>
      <c r="C295" s="83">
        <v>1</v>
      </c>
      <c r="D295" s="83" t="s">
        <v>46</v>
      </c>
      <c r="E295" s="99" t="s">
        <v>308</v>
      </c>
      <c r="F295" s="81" t="str">
        <f t="shared" ref="F295:G297" si="48">+F292</f>
        <v>CAJ_WURTH35.1</v>
      </c>
      <c r="G295" s="143">
        <f t="shared" si="48"/>
        <v>3.3952694169116828</v>
      </c>
      <c r="H295" s="97"/>
      <c r="I295" s="98">
        <f>25/60</f>
        <v>0.41666666666666669</v>
      </c>
      <c r="J295" s="110">
        <f>+I295*(1+Tiempos!$C$17)</f>
        <v>0.43854166666666666</v>
      </c>
      <c r="K295" s="98">
        <f t="shared" si="47"/>
        <v>1.4889671088748109</v>
      </c>
      <c r="L295" s="98">
        <f>+K295/Tiempos!$B$11</f>
        <v>3.2368850192930673E-3</v>
      </c>
      <c r="M295" s="246"/>
      <c r="N295" s="246"/>
      <c r="O295" s="246"/>
      <c r="P295" s="246"/>
      <c r="Q295" s="246"/>
    </row>
    <row r="296" spans="1:17" x14ac:dyDescent="0.35">
      <c r="A296" s="81"/>
      <c r="B296" s="81">
        <v>2</v>
      </c>
      <c r="C296" s="83">
        <v>1</v>
      </c>
      <c r="D296" s="83" t="s">
        <v>46</v>
      </c>
      <c r="E296" s="99" t="s">
        <v>309</v>
      </c>
      <c r="F296" s="81" t="str">
        <f t="shared" si="48"/>
        <v>CAJ_WURTH35.1</v>
      </c>
      <c r="G296" s="143">
        <f t="shared" si="48"/>
        <v>3.3952694169116828</v>
      </c>
      <c r="H296" s="97"/>
      <c r="I296" s="98">
        <f>15/60</f>
        <v>0.25</v>
      </c>
      <c r="J296" s="110">
        <f>+I296*(1+Tiempos!$C$17)</f>
        <v>0.263125</v>
      </c>
      <c r="K296" s="98">
        <f t="shared" si="47"/>
        <v>0.89338026532488657</v>
      </c>
      <c r="L296" s="98">
        <f>+K296/Tiempos!$B$11</f>
        <v>1.9421310115758403E-3</v>
      </c>
      <c r="M296" s="246"/>
      <c r="N296" s="246"/>
      <c r="O296" s="246"/>
      <c r="P296" s="246"/>
      <c r="Q296" s="246"/>
    </row>
    <row r="297" spans="1:17" x14ac:dyDescent="0.35">
      <c r="A297" s="81"/>
      <c r="B297" s="81">
        <v>2</v>
      </c>
      <c r="C297" s="83">
        <v>1</v>
      </c>
      <c r="D297" s="83" t="s">
        <v>46</v>
      </c>
      <c r="E297" s="99" t="s">
        <v>310</v>
      </c>
      <c r="F297" s="81" t="str">
        <f t="shared" si="48"/>
        <v>MOV_WURTH35.1</v>
      </c>
      <c r="G297" s="180">
        <f t="shared" si="48"/>
        <v>2</v>
      </c>
      <c r="H297" s="97"/>
      <c r="I297" s="98">
        <f>10/60</f>
        <v>0.16666666666666666</v>
      </c>
      <c r="J297" s="110">
        <f>+I297*(1+Tiempos!$C$17)</f>
        <v>0.17541666666666667</v>
      </c>
      <c r="K297" s="98">
        <f t="shared" si="47"/>
        <v>0.35083333333333333</v>
      </c>
      <c r="L297" s="98">
        <f>+K297/Tiempos!$B$11</f>
        <v>7.6268115942028987E-4</v>
      </c>
      <c r="M297" s="246"/>
      <c r="N297" s="246"/>
      <c r="O297" s="246"/>
      <c r="P297" s="246"/>
      <c r="Q297" s="246"/>
    </row>
    <row r="298" spans="1:17" x14ac:dyDescent="0.35">
      <c r="A298" s="75"/>
      <c r="B298" s="75"/>
      <c r="E298" s="104"/>
      <c r="F298" s="75"/>
      <c r="G298" s="152"/>
      <c r="H298" s="105"/>
      <c r="I298" s="109"/>
      <c r="J298" s="107"/>
      <c r="K298" s="109"/>
      <c r="L298" s="98">
        <f>SUM(L289:L297)</f>
        <v>3.3907112336157251E-2</v>
      </c>
      <c r="M298" s="98">
        <f t="shared" ref="M298:Q298" si="49">SUM(M289:M297)</f>
        <v>0</v>
      </c>
      <c r="N298" s="98">
        <f t="shared" si="49"/>
        <v>0</v>
      </c>
      <c r="O298" s="98"/>
      <c r="P298" s="98">
        <f t="shared" si="49"/>
        <v>0</v>
      </c>
      <c r="Q298" s="98">
        <f t="shared" si="49"/>
        <v>0</v>
      </c>
    </row>
    <row r="299" spans="1:17" x14ac:dyDescent="0.35">
      <c r="A299" s="75"/>
      <c r="B299" s="75"/>
      <c r="E299" s="104"/>
      <c r="F299" s="75"/>
      <c r="G299" s="105"/>
      <c r="H299" s="105"/>
      <c r="I299" s="109"/>
      <c r="J299" s="107"/>
      <c r="K299" s="109"/>
      <c r="L299" s="249"/>
    </row>
    <row r="300" spans="1:17" ht="13.15" x14ac:dyDescent="0.4">
      <c r="A300" s="84" t="s">
        <v>1095</v>
      </c>
      <c r="B300" s="84"/>
      <c r="C300" s="70"/>
      <c r="D300" s="70"/>
      <c r="E300" s="94"/>
      <c r="F300" s="80"/>
      <c r="G300" s="80"/>
      <c r="H300" s="80"/>
      <c r="I300" s="80"/>
      <c r="J300" s="80"/>
      <c r="K300" s="80"/>
      <c r="L300" s="80"/>
    </row>
    <row r="301" spans="1:17" x14ac:dyDescent="0.35">
      <c r="A301" s="81"/>
      <c r="B301" s="81">
        <v>2</v>
      </c>
      <c r="C301" s="83">
        <v>1</v>
      </c>
      <c r="D301" s="83" t="s">
        <v>333</v>
      </c>
      <c r="E301" s="99" t="s">
        <v>109</v>
      </c>
      <c r="F301" s="81" t="str">
        <f>+Volumenes!D161</f>
        <v>CAR_SUM_L1</v>
      </c>
      <c r="G301" s="180">
        <f>VLOOKUP(F301,Volumenes!$D$137:$F$184,3,FALSE)</f>
        <v>220</v>
      </c>
      <c r="H301" s="97"/>
      <c r="I301" s="98">
        <f>15/60</f>
        <v>0.25</v>
      </c>
      <c r="J301" s="110">
        <f>+I301*(1+Tiempos!$C$17)</f>
        <v>0.263125</v>
      </c>
      <c r="K301" s="123">
        <f>+J301*G301</f>
        <v>57.887500000000003</v>
      </c>
      <c r="L301" s="98">
        <f>+K301/Tiempos!$B$11</f>
        <v>0.12584239130434782</v>
      </c>
      <c r="M301" s="238"/>
      <c r="N301" s="238"/>
      <c r="O301" s="238"/>
      <c r="P301" s="261">
        <f>+K301/Tiempos!$B$12</f>
        <v>6.2921195652173911E-2</v>
      </c>
      <c r="Q301" s="238"/>
    </row>
    <row r="302" spans="1:17" x14ac:dyDescent="0.35">
      <c r="A302" s="92"/>
      <c r="B302" s="92">
        <v>2</v>
      </c>
      <c r="C302" s="100">
        <v>1</v>
      </c>
      <c r="D302" s="100" t="s">
        <v>333</v>
      </c>
      <c r="E302" s="101" t="s">
        <v>668</v>
      </c>
      <c r="F302" s="92" t="str">
        <f>+F301</f>
        <v>CAR_SUM_L1</v>
      </c>
      <c r="G302" s="155">
        <f>VLOOKUP(F302,Volumenes!$D$137:$F$184,3,FALSE)</f>
        <v>220</v>
      </c>
      <c r="H302" s="102">
        <v>8</v>
      </c>
      <c r="I302" s="103">
        <f>+(H302/Tiempos!$B$29)/60</f>
        <v>6.8376068376068383E-2</v>
      </c>
      <c r="J302" s="111">
        <f>+I302*(1+Tiempos!$C$17)</f>
        <v>7.1965811965811977E-2</v>
      </c>
      <c r="K302" s="146">
        <f t="shared" ref="K302" si="50">+J302*G302</f>
        <v>15.832478632478635</v>
      </c>
      <c r="L302" s="103">
        <f>+K302/Tiempos!$B$11</f>
        <v>3.4418431809736159E-2</v>
      </c>
      <c r="M302" s="243"/>
      <c r="N302" s="243"/>
      <c r="O302" s="243"/>
      <c r="P302" s="262">
        <f>+K302/Tiempos!$B$12</f>
        <v>1.720921590486808E-2</v>
      </c>
      <c r="Q302" s="243"/>
    </row>
    <row r="303" spans="1:17" x14ac:dyDescent="0.35">
      <c r="A303" s="81"/>
      <c r="B303" s="81">
        <v>2</v>
      </c>
      <c r="C303" s="83">
        <v>1</v>
      </c>
      <c r="D303" s="83" t="s">
        <v>333</v>
      </c>
      <c r="E303" s="99" t="s">
        <v>669</v>
      </c>
      <c r="F303" s="81" t="str">
        <f>+F302</f>
        <v>CAR_SUM_L1</v>
      </c>
      <c r="G303" s="180">
        <f>VLOOKUP(F303,Volumenes!$D$137:$F$184,3,FALSE)</f>
        <v>220</v>
      </c>
      <c r="H303" s="97"/>
      <c r="I303" s="98">
        <f>20/60</f>
        <v>0.33333333333333331</v>
      </c>
      <c r="J303" s="110">
        <f>+I303*(1+Tiempos!$C$17)</f>
        <v>0.35083333333333333</v>
      </c>
      <c r="K303" s="123">
        <f>+J303*G303</f>
        <v>77.183333333333337</v>
      </c>
      <c r="L303" s="98">
        <f>+K303/Tiempos!$B$11</f>
        <v>0.16778985507246377</v>
      </c>
      <c r="M303" s="238"/>
      <c r="N303" s="238"/>
      <c r="O303" s="238"/>
      <c r="P303" s="261">
        <f>+K303/Tiempos!$B$12</f>
        <v>8.3894927536231886E-2</v>
      </c>
      <c r="Q303" s="238"/>
    </row>
    <row r="304" spans="1:17" x14ac:dyDescent="0.35">
      <c r="A304" s="81"/>
      <c r="B304" s="81">
        <v>2</v>
      </c>
      <c r="C304" s="83">
        <v>1</v>
      </c>
      <c r="D304" s="83" t="s">
        <v>333</v>
      </c>
      <c r="E304" s="99" t="s">
        <v>670</v>
      </c>
      <c r="F304" s="81" t="str">
        <f>+Volumenes!D163</f>
        <v>SUM_CARRO_L1</v>
      </c>
      <c r="G304" s="180">
        <f>VLOOKUP(F304,Volumenes!$D$137:$F$184,3,FALSE)</f>
        <v>110</v>
      </c>
      <c r="H304" s="97"/>
      <c r="I304" s="98">
        <f>3/60</f>
        <v>0.05</v>
      </c>
      <c r="J304" s="110">
        <f>+I304*(1+Tiempos!$C$17)</f>
        <v>5.2625000000000005E-2</v>
      </c>
      <c r="K304" s="123">
        <f>+J304*G304</f>
        <v>5.7887500000000003</v>
      </c>
      <c r="L304" s="98">
        <f>+K304/Tiempos!$B$11</f>
        <v>1.2584239130434783E-2</v>
      </c>
      <c r="M304" s="238"/>
      <c r="N304" s="238"/>
      <c r="O304" s="238"/>
      <c r="P304" s="261">
        <f>+K304/Tiempos!$B$12</f>
        <v>6.2921195652173917E-3</v>
      </c>
      <c r="Q304" s="238"/>
    </row>
    <row r="305" spans="1:17" x14ac:dyDescent="0.35">
      <c r="A305" s="92"/>
      <c r="B305" s="92">
        <v>2</v>
      </c>
      <c r="C305" s="100">
        <v>1</v>
      </c>
      <c r="D305" s="100" t="s">
        <v>333</v>
      </c>
      <c r="E305" s="101" t="s">
        <v>1074</v>
      </c>
      <c r="F305" s="92" t="str">
        <f>+F304</f>
        <v>SUM_CARRO_L1</v>
      </c>
      <c r="G305" s="155">
        <f>VLOOKUP(F305,Volumenes!$D$137:$F$184,3,FALSE)</f>
        <v>110</v>
      </c>
      <c r="H305" s="102">
        <v>75</v>
      </c>
      <c r="I305" s="103">
        <f>+(H305/Tiempos!$B$29)/60</f>
        <v>0.64102564102564097</v>
      </c>
      <c r="J305" s="111">
        <f>+I305*(1+Tiempos!$C$17)</f>
        <v>0.67467948717948711</v>
      </c>
      <c r="K305" s="146">
        <f>+J305*G305</f>
        <v>74.214743589743577</v>
      </c>
      <c r="L305" s="103">
        <f>+K305/Tiempos!$B$11</f>
        <v>0.16133639910813821</v>
      </c>
      <c r="M305" s="243"/>
      <c r="N305" s="243"/>
      <c r="O305" s="243"/>
      <c r="P305" s="262">
        <f>+K305/Tiempos!$B$12</f>
        <v>8.0668199554069106E-2</v>
      </c>
      <c r="Q305" s="243"/>
    </row>
    <row r="306" spans="1:17" x14ac:dyDescent="0.35">
      <c r="A306" s="81"/>
      <c r="B306" s="81">
        <v>2</v>
      </c>
      <c r="C306" s="83">
        <v>1</v>
      </c>
      <c r="D306" s="83" t="s">
        <v>333</v>
      </c>
      <c r="E306" s="99" t="s">
        <v>671</v>
      </c>
      <c r="F306" s="81" t="str">
        <f>+F305</f>
        <v>SUM_CARRO_L1</v>
      </c>
      <c r="G306" s="180">
        <f>VLOOKUP(F306,Volumenes!$D$137:$F$184,3,FALSE)</f>
        <v>110</v>
      </c>
      <c r="H306" s="97"/>
      <c r="I306" s="98">
        <f>3/60</f>
        <v>0.05</v>
      </c>
      <c r="J306" s="110">
        <f>+I306*(1+Tiempos!$C$17)</f>
        <v>5.2625000000000005E-2</v>
      </c>
      <c r="K306" s="123">
        <f t="shared" ref="K306" si="51">+J306*G306</f>
        <v>5.7887500000000003</v>
      </c>
      <c r="L306" s="98">
        <f>+K306/Tiempos!$B$11</f>
        <v>1.2584239130434783E-2</v>
      </c>
      <c r="M306" s="238"/>
      <c r="N306" s="238"/>
      <c r="O306" s="238"/>
      <c r="P306" s="261">
        <f>+K306/Tiempos!$B$12</f>
        <v>6.2921195652173917E-3</v>
      </c>
      <c r="Q306" s="238"/>
    </row>
    <row r="307" spans="1:17" x14ac:dyDescent="0.35">
      <c r="A307" s="81"/>
      <c r="B307" s="81">
        <v>2</v>
      </c>
      <c r="C307" s="83">
        <v>1</v>
      </c>
      <c r="D307" s="83" t="s">
        <v>333</v>
      </c>
      <c r="E307" s="99" t="s">
        <v>672</v>
      </c>
      <c r="F307" s="81" t="str">
        <f>+F301</f>
        <v>CAR_SUM_L1</v>
      </c>
      <c r="G307" s="180">
        <f>VLOOKUP(F307,Volumenes!$D$137:$F$184,3,FALSE)</f>
        <v>220</v>
      </c>
      <c r="H307" s="97"/>
      <c r="I307" s="98">
        <f>40/60</f>
        <v>0.66666666666666663</v>
      </c>
      <c r="J307" s="110">
        <f>+I307*(1+Tiempos!$C$17)</f>
        <v>0.70166666666666666</v>
      </c>
      <c r="K307" s="123">
        <f t="shared" ref="K307" si="52">+J307*G307</f>
        <v>154.36666666666667</v>
      </c>
      <c r="L307" s="98">
        <f>+K307/Tiempos!$B$11</f>
        <v>0.33557971014492755</v>
      </c>
      <c r="M307" s="238"/>
      <c r="N307" s="238"/>
      <c r="O307" s="238"/>
      <c r="P307" s="261">
        <f>+K307/Tiempos!$B$12</f>
        <v>0.16778985507246377</v>
      </c>
      <c r="Q307" s="238"/>
    </row>
    <row r="308" spans="1:17" x14ac:dyDescent="0.35">
      <c r="A308" s="92"/>
      <c r="B308" s="92">
        <v>2</v>
      </c>
      <c r="C308" s="100">
        <v>1</v>
      </c>
      <c r="D308" s="100" t="s">
        <v>333</v>
      </c>
      <c r="E308" s="101" t="s">
        <v>673</v>
      </c>
      <c r="F308" s="92" t="str">
        <f>+F304</f>
        <v>SUM_CARRO_L1</v>
      </c>
      <c r="G308" s="155">
        <f>VLOOKUP(F308,Volumenes!$D$137:$F$184,3,FALSE)</f>
        <v>110</v>
      </c>
      <c r="H308" s="102">
        <v>25</v>
      </c>
      <c r="I308" s="103">
        <f>+(H308/Tiempos!$B$29)/60</f>
        <v>0.21367521367521369</v>
      </c>
      <c r="J308" s="111">
        <f>+I308*(1+Tiempos!$C$17)</f>
        <v>0.2248931623931624</v>
      </c>
      <c r="K308" s="146">
        <f>+J308*G308</f>
        <v>24.738247863247864</v>
      </c>
      <c r="L308" s="103">
        <f>+K308/Tiempos!$B$11</f>
        <v>5.3778799702712744E-2</v>
      </c>
      <c r="M308" s="243"/>
      <c r="N308" s="243"/>
      <c r="O308" s="243"/>
      <c r="P308" s="262">
        <f>+K308/Tiempos!$B$12</f>
        <v>2.6889399851356372E-2</v>
      </c>
      <c r="Q308" s="243"/>
    </row>
    <row r="309" spans="1:17" x14ac:dyDescent="0.35">
      <c r="A309" s="81"/>
      <c r="B309" s="81">
        <v>2</v>
      </c>
      <c r="C309" s="83">
        <v>1</v>
      </c>
      <c r="D309" s="83" t="s">
        <v>333</v>
      </c>
      <c r="E309" s="99" t="s">
        <v>674</v>
      </c>
      <c r="F309" s="81" t="str">
        <f>+F307</f>
        <v>CAR_SUM_L1</v>
      </c>
      <c r="G309" s="180">
        <f>VLOOKUP(F309,Volumenes!$D$137:$F$184,3,FALSE)</f>
        <v>220</v>
      </c>
      <c r="H309" s="97"/>
      <c r="I309" s="98">
        <f>50/60</f>
        <v>0.83333333333333337</v>
      </c>
      <c r="J309" s="110">
        <f>+I309*(1+Tiempos!$C$17)</f>
        <v>0.87708333333333333</v>
      </c>
      <c r="K309" s="123">
        <f t="shared" ref="K309" si="53">+J309*G309</f>
        <v>192.95833333333334</v>
      </c>
      <c r="L309" s="98">
        <f>+K309/Tiempos!$B$11</f>
        <v>0.41947463768115945</v>
      </c>
      <c r="M309" s="238"/>
      <c r="N309" s="238"/>
      <c r="O309" s="238"/>
      <c r="P309" s="261">
        <f>+K309/Tiempos!$B$12</f>
        <v>0.20973731884057972</v>
      </c>
      <c r="Q309" s="238"/>
    </row>
    <row r="310" spans="1:17" x14ac:dyDescent="0.35">
      <c r="A310" s="92"/>
      <c r="B310" s="92">
        <v>2</v>
      </c>
      <c r="C310" s="100">
        <v>1</v>
      </c>
      <c r="D310" s="100" t="s">
        <v>333</v>
      </c>
      <c r="E310" s="101" t="s">
        <v>1075</v>
      </c>
      <c r="F310" s="92" t="str">
        <f>+F308</f>
        <v>SUM_CARRO_L1</v>
      </c>
      <c r="G310" s="155">
        <f>VLOOKUP(F310,Volumenes!$D$137:$F$184,3,FALSE)</f>
        <v>110</v>
      </c>
      <c r="H310" s="102">
        <v>50</v>
      </c>
      <c r="I310" s="103">
        <f>+(H310/Tiempos!$B$29)/60</f>
        <v>0.42735042735042739</v>
      </c>
      <c r="J310" s="111">
        <f>+I310*(1+Tiempos!$C$17)</f>
        <v>0.4497863247863248</v>
      </c>
      <c r="K310" s="146">
        <f>+J310*G310</f>
        <v>49.476495726495727</v>
      </c>
      <c r="L310" s="103">
        <f>+K310/Tiempos!$B$11</f>
        <v>0.10755759940542549</v>
      </c>
      <c r="M310" s="243"/>
      <c r="N310" s="243"/>
      <c r="O310" s="243"/>
      <c r="P310" s="262">
        <f>+K310/Tiempos!$B$12</f>
        <v>5.3778799702712744E-2</v>
      </c>
      <c r="Q310" s="243"/>
    </row>
    <row r="311" spans="1:17" x14ac:dyDescent="0.35">
      <c r="A311" s="92"/>
      <c r="B311" s="92">
        <v>2</v>
      </c>
      <c r="C311" s="100">
        <v>1</v>
      </c>
      <c r="D311" s="100" t="s">
        <v>46</v>
      </c>
      <c r="E311" s="101" t="s">
        <v>677</v>
      </c>
      <c r="F311" s="92" t="str">
        <f>+Volumenes!D159</f>
        <v>CONJ_TOT_L1</v>
      </c>
      <c r="G311" s="155">
        <f>VLOOKUP(F311,Volumenes!$D$137:$F$184,3,FALSE)</f>
        <v>616</v>
      </c>
      <c r="H311" s="102">
        <v>25</v>
      </c>
      <c r="I311" s="103">
        <f>+(H311/Tiempos!$B$28)/60</f>
        <v>0.28306159420289856</v>
      </c>
      <c r="J311" s="111">
        <f>+I311*(1+Tiempos!$C$17)</f>
        <v>0.29792232789855072</v>
      </c>
      <c r="K311" s="146">
        <f>+J311*G311</f>
        <v>183.52015398550725</v>
      </c>
      <c r="L311" s="103">
        <f>+K311/Tiempos!$B$11</f>
        <v>0.39895685649023316</v>
      </c>
      <c r="M311" s="243"/>
      <c r="N311" s="243"/>
      <c r="O311" s="243"/>
      <c r="P311" s="262">
        <f>+K311/Tiempos!$B$12</f>
        <v>0.19947842824511658</v>
      </c>
      <c r="Q311" s="243"/>
    </row>
    <row r="312" spans="1:17" x14ac:dyDescent="0.35">
      <c r="A312" s="81"/>
      <c r="B312" s="81">
        <v>2</v>
      </c>
      <c r="C312" s="83">
        <v>1</v>
      </c>
      <c r="D312" s="83" t="s">
        <v>333</v>
      </c>
      <c r="E312" s="99" t="s">
        <v>678</v>
      </c>
      <c r="F312" s="81" t="str">
        <f>+F311</f>
        <v>CONJ_TOT_L1</v>
      </c>
      <c r="G312" s="180">
        <f>VLOOKUP(F312,Volumenes!$D$137:$F$184,3,FALSE)</f>
        <v>616</v>
      </c>
      <c r="H312" s="97"/>
      <c r="I312" s="98">
        <f>25/60</f>
        <v>0.41666666666666669</v>
      </c>
      <c r="J312" s="110">
        <f>+I312*(1+Tiempos!$C$17)</f>
        <v>0.43854166666666666</v>
      </c>
      <c r="K312" s="123">
        <f t="shared" ref="K312" si="54">+J312*G312</f>
        <v>270.14166666666665</v>
      </c>
      <c r="L312" s="98">
        <f>+K312/Tiempos!$B$11</f>
        <v>0.58726449275362314</v>
      </c>
      <c r="M312" s="238"/>
      <c r="N312" s="238"/>
      <c r="O312" s="238"/>
      <c r="P312" s="261">
        <f>+K312/Tiempos!$B$12</f>
        <v>0.29363224637681157</v>
      </c>
      <c r="Q312" s="238"/>
    </row>
    <row r="313" spans="1:17" x14ac:dyDescent="0.35">
      <c r="A313" s="81"/>
      <c r="B313" s="81">
        <v>2</v>
      </c>
      <c r="C313" s="83">
        <v>1</v>
      </c>
      <c r="D313" s="83" t="s">
        <v>333</v>
      </c>
      <c r="E313" s="99" t="s">
        <v>671</v>
      </c>
      <c r="F313" s="81" t="str">
        <f>+F310</f>
        <v>SUM_CARRO_L1</v>
      </c>
      <c r="G313" s="180">
        <f>VLOOKUP(F313,Volumenes!$D$137:$F$184,3,FALSE)</f>
        <v>110</v>
      </c>
      <c r="H313" s="97"/>
      <c r="I313" s="98">
        <f>3/60</f>
        <v>0.05</v>
      </c>
      <c r="J313" s="110">
        <f>+I313*(1+Tiempos!$C$17)</f>
        <v>5.2625000000000005E-2</v>
      </c>
      <c r="K313" s="123">
        <f t="shared" ref="K313" si="55">+J313*G313</f>
        <v>5.7887500000000003</v>
      </c>
      <c r="L313" s="98">
        <f>+K313/Tiempos!$B$11</f>
        <v>1.2584239130434783E-2</v>
      </c>
      <c r="M313" s="238"/>
      <c r="N313" s="238"/>
      <c r="O313" s="238"/>
      <c r="P313" s="261">
        <f>+K313/Tiempos!$B$12</f>
        <v>6.2921195652173917E-3</v>
      </c>
      <c r="Q313" s="238"/>
    </row>
    <row r="314" spans="1:17" x14ac:dyDescent="0.35">
      <c r="A314" s="81"/>
      <c r="B314" s="81">
        <v>2</v>
      </c>
      <c r="C314" s="83">
        <v>1</v>
      </c>
      <c r="D314" s="83" t="s">
        <v>333</v>
      </c>
      <c r="E314" s="99" t="s">
        <v>675</v>
      </c>
      <c r="F314" s="81" t="str">
        <f>+F309</f>
        <v>CAR_SUM_L1</v>
      </c>
      <c r="G314" s="180">
        <f>VLOOKUP(F314,Volumenes!$D$137:$F$184,3,FALSE)</f>
        <v>220</v>
      </c>
      <c r="H314" s="97"/>
      <c r="I314" s="98">
        <f>50/60</f>
        <v>0.83333333333333337</v>
      </c>
      <c r="J314" s="110">
        <f>+I314*(1+Tiempos!$C$17)</f>
        <v>0.87708333333333333</v>
      </c>
      <c r="K314" s="123">
        <f>+J314*G314</f>
        <v>192.95833333333334</v>
      </c>
      <c r="L314" s="98">
        <f>+K314/Tiempos!$B$11</f>
        <v>0.41947463768115945</v>
      </c>
      <c r="M314" s="238"/>
      <c r="N314" s="238"/>
      <c r="O314" s="238"/>
      <c r="P314" s="261">
        <f>+K314/Tiempos!$B$12</f>
        <v>0.20973731884057972</v>
      </c>
      <c r="Q314" s="238"/>
    </row>
    <row r="315" spans="1:17" x14ac:dyDescent="0.35">
      <c r="A315" s="92"/>
      <c r="B315" s="92">
        <v>2</v>
      </c>
      <c r="C315" s="100">
        <v>1</v>
      </c>
      <c r="D315" s="100" t="s">
        <v>333</v>
      </c>
      <c r="E315" s="101" t="s">
        <v>676</v>
      </c>
      <c r="F315" s="92" t="str">
        <f>+F313</f>
        <v>SUM_CARRO_L1</v>
      </c>
      <c r="G315" s="155">
        <f>VLOOKUP(F315,Volumenes!$D$137:$F$184,3,FALSE)</f>
        <v>110</v>
      </c>
      <c r="H315" s="102">
        <v>6</v>
      </c>
      <c r="I315" s="103">
        <f>+(H315/Tiempos!$B$29)/60</f>
        <v>5.1282051282051287E-2</v>
      </c>
      <c r="J315" s="111">
        <f>+I315*(1+Tiempos!$C$17)</f>
        <v>5.3974358974358982E-2</v>
      </c>
      <c r="K315" s="146">
        <f t="shared" ref="K315" si="56">+J315*G315</f>
        <v>5.9371794871794883</v>
      </c>
      <c r="L315" s="103">
        <f>+K315/Tiempos!$B$11</f>
        <v>1.2906911928651061E-2</v>
      </c>
      <c r="M315" s="243"/>
      <c r="N315" s="243"/>
      <c r="O315" s="243"/>
      <c r="P315" s="262">
        <f>+K315/Tiempos!$B$12</f>
        <v>6.4534559643255303E-3</v>
      </c>
      <c r="Q315" s="243"/>
    </row>
    <row r="316" spans="1:17" x14ac:dyDescent="0.35">
      <c r="A316" s="75"/>
      <c r="B316" s="75"/>
      <c r="E316" s="104"/>
      <c r="F316" s="75"/>
      <c r="G316" s="105"/>
      <c r="H316" s="105"/>
      <c r="I316" s="106"/>
      <c r="J316" s="107"/>
      <c r="K316" s="109"/>
      <c r="L316" s="141">
        <f>SUM(L301:L315)</f>
        <v>2.8621334404738823</v>
      </c>
      <c r="M316" s="141">
        <f>SUM(M301:M315)</f>
        <v>0</v>
      </c>
      <c r="N316" s="141">
        <f>SUM(N301:N315)</f>
        <v>0</v>
      </c>
      <c r="O316" s="141"/>
      <c r="P316" s="141">
        <f>SUM(P301:P315)</f>
        <v>1.4310667202369411</v>
      </c>
      <c r="Q316" s="141">
        <f>SUM(Q301:Q315)</f>
        <v>0</v>
      </c>
    </row>
    <row r="317" spans="1:17" x14ac:dyDescent="0.35">
      <c r="A317" s="75"/>
      <c r="B317" s="75"/>
      <c r="E317" s="104"/>
      <c r="F317" s="75"/>
      <c r="G317" s="105"/>
      <c r="H317" s="105"/>
      <c r="I317" s="106"/>
      <c r="J317" s="107"/>
      <c r="K317" s="109"/>
      <c r="L317" s="249"/>
    </row>
    <row r="318" spans="1:17" ht="13.15" x14ac:dyDescent="0.4">
      <c r="A318" s="84" t="s">
        <v>1096</v>
      </c>
      <c r="B318" s="84"/>
      <c r="C318" s="70"/>
      <c r="D318" s="70"/>
      <c r="E318" s="94"/>
      <c r="F318" s="80"/>
      <c r="G318" s="80"/>
      <c r="H318" s="80"/>
      <c r="I318" s="80"/>
      <c r="J318" s="80"/>
      <c r="K318" s="80"/>
      <c r="L318" s="80"/>
    </row>
    <row r="319" spans="1:17" x14ac:dyDescent="0.35">
      <c r="A319" s="81"/>
      <c r="B319" s="81">
        <v>2</v>
      </c>
      <c r="C319" s="83">
        <v>1</v>
      </c>
      <c r="D319" s="83" t="s">
        <v>333</v>
      </c>
      <c r="E319" s="99" t="s">
        <v>109</v>
      </c>
      <c r="F319" s="81" t="str">
        <f>+Volumenes!D162</f>
        <v>CAR_SUM_L2</v>
      </c>
      <c r="G319" s="180">
        <f>VLOOKUP(F319,Volumenes!$D$137:$F$184,3,FALSE)</f>
        <v>72</v>
      </c>
      <c r="H319" s="97"/>
      <c r="I319" s="98">
        <f>15/60</f>
        <v>0.25</v>
      </c>
      <c r="J319" s="110">
        <f>+I319*(1+Tiempos!$C$17)</f>
        <v>0.263125</v>
      </c>
      <c r="K319" s="123">
        <f>+J319*G319</f>
        <v>18.945</v>
      </c>
      <c r="L319" s="98">
        <f>+K319/Tiempos!$B$11</f>
        <v>4.1184782608695653E-2</v>
      </c>
      <c r="M319" s="238"/>
      <c r="N319" s="238"/>
      <c r="O319" s="238"/>
      <c r="P319" s="261">
        <f>+K319/Tiempos!$B$12</f>
        <v>2.0592391304347826E-2</v>
      </c>
      <c r="Q319" s="238"/>
    </row>
    <row r="320" spans="1:17" x14ac:dyDescent="0.35">
      <c r="A320" s="92"/>
      <c r="B320" s="92">
        <v>2</v>
      </c>
      <c r="C320" s="100">
        <v>1</v>
      </c>
      <c r="D320" s="100" t="s">
        <v>333</v>
      </c>
      <c r="E320" s="101" t="s">
        <v>668</v>
      </c>
      <c r="F320" s="92" t="str">
        <f>+F319</f>
        <v>CAR_SUM_L2</v>
      </c>
      <c r="G320" s="155">
        <f>VLOOKUP(F320,Volumenes!$D$137:$F$184,3,FALSE)</f>
        <v>72</v>
      </c>
      <c r="H320" s="102">
        <v>8</v>
      </c>
      <c r="I320" s="103">
        <f>+(H320/Tiempos!$B$29)/60</f>
        <v>6.8376068376068383E-2</v>
      </c>
      <c r="J320" s="111">
        <f>+I320*(1+Tiempos!$C$17)</f>
        <v>7.1965811965811977E-2</v>
      </c>
      <c r="K320" s="146">
        <f t="shared" ref="K320" si="57">+J320*G320</f>
        <v>5.1815384615384623</v>
      </c>
      <c r="L320" s="103">
        <f>+K320/Tiempos!$B$11</f>
        <v>1.1264214046822743E-2</v>
      </c>
      <c r="M320" s="243"/>
      <c r="N320" s="243"/>
      <c r="O320" s="243"/>
      <c r="P320" s="262">
        <f>+K320/Tiempos!$B$12</f>
        <v>5.6321070234113717E-3</v>
      </c>
      <c r="Q320" s="243"/>
    </row>
    <row r="321" spans="1:17" x14ac:dyDescent="0.35">
      <c r="A321" s="81"/>
      <c r="B321" s="81">
        <v>2</v>
      </c>
      <c r="C321" s="83">
        <v>1</v>
      </c>
      <c r="D321" s="83" t="s">
        <v>333</v>
      </c>
      <c r="E321" s="99" t="s">
        <v>669</v>
      </c>
      <c r="F321" s="81" t="str">
        <f>+F320</f>
        <v>CAR_SUM_L2</v>
      </c>
      <c r="G321" s="180">
        <f>VLOOKUP(F321,Volumenes!$D$137:$F$184,3,FALSE)</f>
        <v>72</v>
      </c>
      <c r="H321" s="97"/>
      <c r="I321" s="98">
        <f>20/60</f>
        <v>0.33333333333333331</v>
      </c>
      <c r="J321" s="110">
        <f>+I321*(1+Tiempos!$C$17)</f>
        <v>0.35083333333333333</v>
      </c>
      <c r="K321" s="123">
        <f>+J321*G321</f>
        <v>25.259999999999998</v>
      </c>
      <c r="L321" s="98">
        <f>+K321/Tiempos!$B$11</f>
        <v>5.4913043478260863E-2</v>
      </c>
      <c r="M321" s="238"/>
      <c r="N321" s="238"/>
      <c r="O321" s="238"/>
      <c r="P321" s="261">
        <f>+K321/Tiempos!$B$12</f>
        <v>2.7456521739130432E-2</v>
      </c>
      <c r="Q321" s="238"/>
    </row>
    <row r="322" spans="1:17" x14ac:dyDescent="0.35">
      <c r="A322" s="81"/>
      <c r="B322" s="81">
        <v>2</v>
      </c>
      <c r="C322" s="83">
        <v>1</v>
      </c>
      <c r="D322" s="83" t="s">
        <v>333</v>
      </c>
      <c r="E322" s="99" t="s">
        <v>670</v>
      </c>
      <c r="F322" s="81" t="str">
        <f>+Volumenes!D164</f>
        <v>SUM_CARRO_L2</v>
      </c>
      <c r="G322" s="180">
        <f>VLOOKUP(F322,Volumenes!$D$137:$F$184,3,FALSE)</f>
        <v>36</v>
      </c>
      <c r="H322" s="97"/>
      <c r="I322" s="98">
        <f>3/60</f>
        <v>0.05</v>
      </c>
      <c r="J322" s="110">
        <f>+I322*(1+Tiempos!$C$17)</f>
        <v>5.2625000000000005E-2</v>
      </c>
      <c r="K322" s="123">
        <f>+J322*G322</f>
        <v>1.8945000000000003</v>
      </c>
      <c r="L322" s="98">
        <f>+K322/Tiempos!$B$11</f>
        <v>4.1184782608695656E-3</v>
      </c>
      <c r="M322" s="238"/>
      <c r="N322" s="238"/>
      <c r="O322" s="238"/>
      <c r="P322" s="261">
        <f>+K322/Tiempos!$B$12</f>
        <v>2.0592391304347828E-3</v>
      </c>
      <c r="Q322" s="238"/>
    </row>
    <row r="323" spans="1:17" x14ac:dyDescent="0.35">
      <c r="A323" s="92"/>
      <c r="B323" s="92">
        <v>2</v>
      </c>
      <c r="C323" s="100">
        <v>1</v>
      </c>
      <c r="D323" s="100" t="s">
        <v>333</v>
      </c>
      <c r="E323" s="101" t="s">
        <v>1074</v>
      </c>
      <c r="F323" s="92" t="str">
        <f>+F322</f>
        <v>SUM_CARRO_L2</v>
      </c>
      <c r="G323" s="155">
        <f>VLOOKUP(F323,Volumenes!$D$137:$F$184,3,FALSE)</f>
        <v>36</v>
      </c>
      <c r="H323" s="102">
        <v>75</v>
      </c>
      <c r="I323" s="103">
        <f>+(H323/Tiempos!$B$29)/60</f>
        <v>0.64102564102564097</v>
      </c>
      <c r="J323" s="111">
        <f>+I323*(1+Tiempos!$C$17)</f>
        <v>0.67467948717948711</v>
      </c>
      <c r="K323" s="146">
        <f>+J323*G323</f>
        <v>24.288461538461537</v>
      </c>
      <c r="L323" s="103">
        <f>+K323/Tiempos!$B$11</f>
        <v>5.2801003344481602E-2</v>
      </c>
      <c r="M323" s="243"/>
      <c r="N323" s="243"/>
      <c r="O323" s="243"/>
      <c r="P323" s="262">
        <f>+K323/Tiempos!$B$12</f>
        <v>2.6400501672240801E-2</v>
      </c>
      <c r="Q323" s="243"/>
    </row>
    <row r="324" spans="1:17" x14ac:dyDescent="0.35">
      <c r="A324" s="81"/>
      <c r="B324" s="81">
        <v>2</v>
      </c>
      <c r="C324" s="83">
        <v>1</v>
      </c>
      <c r="D324" s="83" t="s">
        <v>333</v>
      </c>
      <c r="E324" s="99" t="s">
        <v>671</v>
      </c>
      <c r="F324" s="81" t="str">
        <f>+F323</f>
        <v>SUM_CARRO_L2</v>
      </c>
      <c r="G324" s="180">
        <f>VLOOKUP(F324,Volumenes!$D$137:$F$184,3,FALSE)</f>
        <v>36</v>
      </c>
      <c r="H324" s="97"/>
      <c r="I324" s="98">
        <f>3/60</f>
        <v>0.05</v>
      </c>
      <c r="J324" s="110">
        <f>+I324*(1+Tiempos!$C$17)</f>
        <v>5.2625000000000005E-2</v>
      </c>
      <c r="K324" s="123">
        <f t="shared" ref="K324:K325" si="58">+J324*G324</f>
        <v>1.8945000000000003</v>
      </c>
      <c r="L324" s="98">
        <f>+K324/Tiempos!$B$11</f>
        <v>4.1184782608695656E-3</v>
      </c>
      <c r="M324" s="238"/>
      <c r="N324" s="238"/>
      <c r="O324" s="238"/>
      <c r="P324" s="261">
        <f>+K324/Tiempos!$B$12</f>
        <v>2.0592391304347828E-3</v>
      </c>
      <c r="Q324" s="238"/>
    </row>
    <row r="325" spans="1:17" x14ac:dyDescent="0.35">
      <c r="A325" s="81"/>
      <c r="B325" s="81">
        <v>2</v>
      </c>
      <c r="C325" s="83">
        <v>1</v>
      </c>
      <c r="D325" s="83" t="s">
        <v>333</v>
      </c>
      <c r="E325" s="99" t="s">
        <v>885</v>
      </c>
      <c r="F325" s="81" t="str">
        <f>+F319</f>
        <v>CAR_SUM_L2</v>
      </c>
      <c r="G325" s="180">
        <f>VLOOKUP(F325,Volumenes!$D$137:$F$184,3,FALSE)</f>
        <v>72</v>
      </c>
      <c r="H325" s="97"/>
      <c r="I325" s="98">
        <f>40/60</f>
        <v>0.66666666666666663</v>
      </c>
      <c r="J325" s="110">
        <f>+I325*(1+Tiempos!$C$17)</f>
        <v>0.70166666666666666</v>
      </c>
      <c r="K325" s="123">
        <f t="shared" si="58"/>
        <v>50.519999999999996</v>
      </c>
      <c r="L325" s="98">
        <f>+K325/Tiempos!$B$11</f>
        <v>0.10982608695652173</v>
      </c>
      <c r="M325" s="238"/>
      <c r="N325" s="238"/>
      <c r="O325" s="238"/>
      <c r="P325" s="261">
        <f>+K325/Tiempos!$B$12</f>
        <v>5.4913043478260863E-2</v>
      </c>
      <c r="Q325" s="238"/>
    </row>
    <row r="326" spans="1:17" x14ac:dyDescent="0.35">
      <c r="A326" s="92"/>
      <c r="B326" s="92">
        <v>2</v>
      </c>
      <c r="C326" s="100">
        <v>1</v>
      </c>
      <c r="D326" s="100" t="s">
        <v>333</v>
      </c>
      <c r="E326" s="101" t="s">
        <v>673</v>
      </c>
      <c r="F326" s="92" t="str">
        <f>+F322</f>
        <v>SUM_CARRO_L2</v>
      </c>
      <c r="G326" s="155">
        <f>VLOOKUP(F326,Volumenes!$D$137:$F$184,3,FALSE)</f>
        <v>36</v>
      </c>
      <c r="H326" s="102">
        <v>25</v>
      </c>
      <c r="I326" s="103">
        <f>+(H326/Tiempos!$B$29)/60</f>
        <v>0.21367521367521369</v>
      </c>
      <c r="J326" s="111">
        <f>+I326*(1+Tiempos!$C$17)</f>
        <v>0.2248931623931624</v>
      </c>
      <c r="K326" s="146">
        <f>+J326*G326</f>
        <v>8.0961538461538467</v>
      </c>
      <c r="L326" s="103">
        <f>+K326/Tiempos!$B$11</f>
        <v>1.7600334448160535E-2</v>
      </c>
      <c r="M326" s="243"/>
      <c r="N326" s="243"/>
      <c r="O326" s="243"/>
      <c r="P326" s="262">
        <f>+K326/Tiempos!$B$12</f>
        <v>8.8001672240802676E-3</v>
      </c>
      <c r="Q326" s="243"/>
    </row>
    <row r="327" spans="1:17" x14ac:dyDescent="0.35">
      <c r="A327" s="81"/>
      <c r="B327" s="81">
        <v>2</v>
      </c>
      <c r="C327" s="83">
        <v>1</v>
      </c>
      <c r="D327" s="83" t="s">
        <v>333</v>
      </c>
      <c r="E327" s="99" t="s">
        <v>674</v>
      </c>
      <c r="F327" s="81" t="str">
        <f>+F325</f>
        <v>CAR_SUM_L2</v>
      </c>
      <c r="G327" s="180">
        <f>VLOOKUP(F327,Volumenes!$D$137:$F$184,3,FALSE)</f>
        <v>72</v>
      </c>
      <c r="H327" s="97"/>
      <c r="I327" s="98">
        <f>50/60</f>
        <v>0.83333333333333337</v>
      </c>
      <c r="J327" s="110">
        <f>+I327*(1+Tiempos!$C$17)</f>
        <v>0.87708333333333333</v>
      </c>
      <c r="K327" s="123">
        <f t="shared" ref="K327" si="59">+J327*G327</f>
        <v>63.15</v>
      </c>
      <c r="L327" s="98">
        <f>+K327/Tiempos!$B$11</f>
        <v>0.13728260869565218</v>
      </c>
      <c r="M327" s="238"/>
      <c r="N327" s="238"/>
      <c r="O327" s="238"/>
      <c r="P327" s="261">
        <f>+K327/Tiempos!$B$12</f>
        <v>6.8641304347826088E-2</v>
      </c>
      <c r="Q327" s="238"/>
    </row>
    <row r="328" spans="1:17" x14ac:dyDescent="0.35">
      <c r="A328" s="92"/>
      <c r="B328" s="92">
        <v>2</v>
      </c>
      <c r="C328" s="100">
        <v>1</v>
      </c>
      <c r="D328" s="100" t="s">
        <v>333</v>
      </c>
      <c r="E328" s="101" t="s">
        <v>1075</v>
      </c>
      <c r="F328" s="92" t="str">
        <f>+F326</f>
        <v>SUM_CARRO_L2</v>
      </c>
      <c r="G328" s="155">
        <f>VLOOKUP(F328,Volumenes!$D$137:$F$184,3,FALSE)</f>
        <v>36</v>
      </c>
      <c r="H328" s="102">
        <v>60</v>
      </c>
      <c r="I328" s="103">
        <f>+(H328/Tiempos!$B$29)/60</f>
        <v>0.51282051282051289</v>
      </c>
      <c r="J328" s="111">
        <f>+I328*(1+Tiempos!$C$17)</f>
        <v>0.53974358974358982</v>
      </c>
      <c r="K328" s="146">
        <f>+J328*G328</f>
        <v>19.430769230769233</v>
      </c>
      <c r="L328" s="103">
        <f>+K328/Tiempos!$B$11</f>
        <v>4.224080267558529E-2</v>
      </c>
      <c r="M328" s="243"/>
      <c r="N328" s="243"/>
      <c r="O328" s="243"/>
      <c r="P328" s="262">
        <f>+K328/Tiempos!$B$12</f>
        <v>2.1120401337792645E-2</v>
      </c>
      <c r="Q328" s="243"/>
    </row>
    <row r="329" spans="1:17" x14ac:dyDescent="0.35">
      <c r="A329" s="92"/>
      <c r="B329" s="92">
        <v>2</v>
      </c>
      <c r="C329" s="100">
        <v>1</v>
      </c>
      <c r="D329" s="100" t="s">
        <v>46</v>
      </c>
      <c r="E329" s="101" t="s">
        <v>677</v>
      </c>
      <c r="F329" s="92" t="str">
        <f>+Volumenes!D160</f>
        <v>CONJ_TOT_L2</v>
      </c>
      <c r="G329" s="155">
        <f>VLOOKUP(F329,Volumenes!$D$137:$F$184,3,FALSE)</f>
        <v>252</v>
      </c>
      <c r="H329" s="102">
        <v>25</v>
      </c>
      <c r="I329" s="103">
        <f>+(H329/Tiempos!$B$28)/60</f>
        <v>0.28306159420289856</v>
      </c>
      <c r="J329" s="111">
        <f>+I329*(1+Tiempos!$C$17)</f>
        <v>0.29792232789855072</v>
      </c>
      <c r="K329" s="146">
        <f>+J329*G329</f>
        <v>75.076426630434781</v>
      </c>
      <c r="L329" s="103">
        <f>+K329/Tiempos!$B$11</f>
        <v>0.16320962310964082</v>
      </c>
      <c r="M329" s="243"/>
      <c r="N329" s="243"/>
      <c r="O329" s="243"/>
      <c r="P329" s="262">
        <f>+K329/Tiempos!$B$12</f>
        <v>8.1604811554820411E-2</v>
      </c>
      <c r="Q329" s="243"/>
    </row>
    <row r="330" spans="1:17" x14ac:dyDescent="0.35">
      <c r="A330" s="81"/>
      <c r="B330" s="81">
        <v>2</v>
      </c>
      <c r="C330" s="83">
        <v>1</v>
      </c>
      <c r="D330" s="83" t="s">
        <v>333</v>
      </c>
      <c r="E330" s="99" t="s">
        <v>678</v>
      </c>
      <c r="F330" s="81" t="str">
        <f>+F329</f>
        <v>CONJ_TOT_L2</v>
      </c>
      <c r="G330" s="180">
        <f>VLOOKUP(F330,Volumenes!$D$137:$F$184,3,FALSE)</f>
        <v>252</v>
      </c>
      <c r="H330" s="97"/>
      <c r="I330" s="98">
        <f>25/60</f>
        <v>0.41666666666666669</v>
      </c>
      <c r="J330" s="110">
        <f>+I330*(1+Tiempos!$C$17)</f>
        <v>0.43854166666666666</v>
      </c>
      <c r="K330" s="123">
        <f t="shared" ref="K330:K331" si="60">+J330*G330</f>
        <v>110.5125</v>
      </c>
      <c r="L330" s="98">
        <f>+K330/Tiempos!$B$11</f>
        <v>0.24024456521739132</v>
      </c>
      <c r="M330" s="238"/>
      <c r="N330" s="238"/>
      <c r="O330" s="238"/>
      <c r="P330" s="261">
        <f>+K330/Tiempos!$B$12</f>
        <v>0.12012228260869566</v>
      </c>
      <c r="Q330" s="238"/>
    </row>
    <row r="331" spans="1:17" x14ac:dyDescent="0.35">
      <c r="A331" s="81"/>
      <c r="B331" s="81">
        <v>2</v>
      </c>
      <c r="C331" s="83">
        <v>1</v>
      </c>
      <c r="D331" s="83" t="s">
        <v>333</v>
      </c>
      <c r="E331" s="99" t="s">
        <v>671</v>
      </c>
      <c r="F331" s="81" t="str">
        <f>+F328</f>
        <v>SUM_CARRO_L2</v>
      </c>
      <c r="G331" s="180">
        <f>VLOOKUP(F331,Volumenes!$D$137:$F$184,3,FALSE)</f>
        <v>36</v>
      </c>
      <c r="H331" s="97"/>
      <c r="I331" s="98">
        <f>3/60</f>
        <v>0.05</v>
      </c>
      <c r="J331" s="110">
        <f>+I331*(1+Tiempos!$C$17)</f>
        <v>5.2625000000000005E-2</v>
      </c>
      <c r="K331" s="123">
        <f t="shared" si="60"/>
        <v>1.8945000000000003</v>
      </c>
      <c r="L331" s="98">
        <f>+K331/Tiempos!$B$11</f>
        <v>4.1184782608695656E-3</v>
      </c>
      <c r="M331" s="238"/>
      <c r="N331" s="238"/>
      <c r="O331" s="238"/>
      <c r="P331" s="261">
        <f>+K331/Tiempos!$B$12</f>
        <v>2.0592391304347828E-3</v>
      </c>
      <c r="Q331" s="238"/>
    </row>
    <row r="332" spans="1:17" x14ac:dyDescent="0.35">
      <c r="A332" s="81"/>
      <c r="B332" s="81">
        <v>2</v>
      </c>
      <c r="C332" s="83">
        <v>1</v>
      </c>
      <c r="D332" s="83" t="s">
        <v>333</v>
      </c>
      <c r="E332" s="99" t="s">
        <v>675</v>
      </c>
      <c r="F332" s="81" t="str">
        <f>+F327</f>
        <v>CAR_SUM_L2</v>
      </c>
      <c r="G332" s="180">
        <f>VLOOKUP(F332,Volumenes!$D$137:$F$184,3,FALSE)</f>
        <v>72</v>
      </c>
      <c r="H332" s="97"/>
      <c r="I332" s="98">
        <f>50/60</f>
        <v>0.83333333333333337</v>
      </c>
      <c r="J332" s="110">
        <f>+I332*(1+Tiempos!$C$17)</f>
        <v>0.87708333333333333</v>
      </c>
      <c r="K332" s="123">
        <f>+J332*G332</f>
        <v>63.15</v>
      </c>
      <c r="L332" s="98">
        <f>+K332/Tiempos!$B$11</f>
        <v>0.13728260869565218</v>
      </c>
      <c r="M332" s="238"/>
      <c r="N332" s="238"/>
      <c r="O332" s="238"/>
      <c r="P332" s="261">
        <f>+K332/Tiempos!$B$12</f>
        <v>6.8641304347826088E-2</v>
      </c>
      <c r="Q332" s="238"/>
    </row>
    <row r="333" spans="1:17" x14ac:dyDescent="0.35">
      <c r="A333" s="92"/>
      <c r="B333" s="92">
        <v>2</v>
      </c>
      <c r="C333" s="100">
        <v>1</v>
      </c>
      <c r="D333" s="100" t="s">
        <v>333</v>
      </c>
      <c r="E333" s="101" t="s">
        <v>676</v>
      </c>
      <c r="F333" s="92" t="str">
        <f>+F331</f>
        <v>SUM_CARRO_L2</v>
      </c>
      <c r="G333" s="155">
        <f>VLOOKUP(F333,Volumenes!$D$137:$F$184,3,FALSE)</f>
        <v>36</v>
      </c>
      <c r="H333" s="102">
        <v>6</v>
      </c>
      <c r="I333" s="103">
        <f>+(H333/Tiempos!$B$29)/60</f>
        <v>5.1282051282051287E-2</v>
      </c>
      <c r="J333" s="111">
        <f>+I333*(1+Tiempos!$C$17)</f>
        <v>5.3974358974358982E-2</v>
      </c>
      <c r="K333" s="146">
        <f t="shared" ref="K333" si="61">+J333*G333</f>
        <v>1.9430769230769234</v>
      </c>
      <c r="L333" s="103">
        <f>+K333/Tiempos!$B$11</f>
        <v>4.224080267558529E-3</v>
      </c>
      <c r="M333" s="243"/>
      <c r="N333" s="243"/>
      <c r="O333" s="243"/>
      <c r="P333" s="262">
        <f>+K333/Tiempos!$B$12</f>
        <v>2.1120401337792645E-3</v>
      </c>
      <c r="Q333" s="243"/>
    </row>
    <row r="334" spans="1:17" x14ac:dyDescent="0.35">
      <c r="A334" s="75"/>
      <c r="B334" s="75"/>
      <c r="E334" s="104"/>
      <c r="F334" s="75"/>
      <c r="G334" s="105"/>
      <c r="H334" s="105"/>
      <c r="I334" s="106"/>
      <c r="J334" s="107"/>
      <c r="K334" s="109"/>
      <c r="L334" s="141">
        <f>SUM(L319:L333)</f>
        <v>1.0244291883270322</v>
      </c>
      <c r="M334" s="141">
        <f>SUM(M319:M333)</f>
        <v>0</v>
      </c>
      <c r="N334" s="141">
        <f>SUM(N319:N333)</f>
        <v>0</v>
      </c>
      <c r="O334" s="141"/>
      <c r="P334" s="141">
        <f>SUM(P319:P333)</f>
        <v>0.51221459416351611</v>
      </c>
      <c r="Q334" s="141">
        <f>SUM(Q319:Q333)</f>
        <v>0</v>
      </c>
    </row>
    <row r="335" spans="1:17" x14ac:dyDescent="0.35">
      <c r="A335" s="75"/>
      <c r="B335" s="75"/>
      <c r="E335" s="104"/>
      <c r="F335" s="75"/>
      <c r="G335" s="105"/>
      <c r="H335" s="105"/>
      <c r="I335" s="109"/>
      <c r="J335" s="107"/>
      <c r="K335" s="109"/>
      <c r="L335" s="249"/>
    </row>
    <row r="336" spans="1:17" ht="13.15" x14ac:dyDescent="0.4">
      <c r="A336" s="84" t="s">
        <v>473</v>
      </c>
      <c r="B336" s="84"/>
      <c r="C336" s="70"/>
      <c r="D336" s="70"/>
      <c r="E336" s="94"/>
      <c r="F336" s="80"/>
      <c r="G336" s="80"/>
      <c r="H336" s="80"/>
      <c r="I336" s="80"/>
      <c r="J336" s="80"/>
      <c r="K336" s="80"/>
      <c r="L336" s="80"/>
    </row>
    <row r="337" spans="1:17" x14ac:dyDescent="0.35">
      <c r="A337" s="81"/>
      <c r="B337" s="81">
        <v>2</v>
      </c>
      <c r="C337" s="83">
        <v>1</v>
      </c>
      <c r="D337" s="83" t="s">
        <v>327</v>
      </c>
      <c r="E337" s="99" t="s">
        <v>398</v>
      </c>
      <c r="F337" s="81" t="s">
        <v>407</v>
      </c>
      <c r="G337" s="143">
        <f>VLOOKUP(F337,Volumenes!$D$137:$F$184,3,FALSE)</f>
        <v>37.893158599618836</v>
      </c>
      <c r="H337" s="97"/>
      <c r="I337" s="98">
        <f>8/60</f>
        <v>0.13333333333333333</v>
      </c>
      <c r="J337" s="110">
        <f>+I337*(1+Tiempos!$C$17)</f>
        <v>0.14033333333333334</v>
      </c>
      <c r="K337" s="98">
        <f>+J337*G337</f>
        <v>5.317673256813177</v>
      </c>
      <c r="L337" s="98">
        <f>+K337/Tiempos!$B$11</f>
        <v>1.1560159253941689E-2</v>
      </c>
      <c r="M337" s="261">
        <f>+K337/Tiempos!$B$12</f>
        <v>5.7800796269708446E-3</v>
      </c>
      <c r="N337" s="238"/>
      <c r="O337" s="238"/>
      <c r="P337" s="238"/>
      <c r="Q337" s="238"/>
    </row>
    <row r="338" spans="1:17" x14ac:dyDescent="0.35">
      <c r="A338" s="81"/>
      <c r="B338" s="81">
        <v>2</v>
      </c>
      <c r="C338" s="83">
        <v>1</v>
      </c>
      <c r="D338" s="83" t="s">
        <v>327</v>
      </c>
      <c r="E338" s="99" t="s">
        <v>469</v>
      </c>
      <c r="F338" s="81" t="s">
        <v>410</v>
      </c>
      <c r="G338" s="143">
        <f>VLOOKUP(F338,Volumenes!$D$137:$F$184,3,FALSE)</f>
        <v>2</v>
      </c>
      <c r="H338" s="97"/>
      <c r="I338" s="98">
        <f>25/60</f>
        <v>0.41666666666666669</v>
      </c>
      <c r="J338" s="110">
        <f>+I338*(1+Tiempos!$C$17)</f>
        <v>0.43854166666666666</v>
      </c>
      <c r="K338" s="98">
        <f>+J338*G338</f>
        <v>0.87708333333333333</v>
      </c>
      <c r="L338" s="98">
        <f>+K338/Tiempos!$B$11</f>
        <v>1.9067028985507246E-3</v>
      </c>
      <c r="M338" s="261">
        <f>+K338/Tiempos!$B$12</f>
        <v>9.5335144927536232E-4</v>
      </c>
      <c r="N338" s="238"/>
      <c r="O338" s="238"/>
      <c r="P338" s="238"/>
      <c r="Q338" s="238"/>
    </row>
    <row r="339" spans="1:17" x14ac:dyDescent="0.35">
      <c r="A339" s="92"/>
      <c r="B339" s="92">
        <v>2</v>
      </c>
      <c r="C339" s="100">
        <v>1</v>
      </c>
      <c r="D339" s="100" t="s">
        <v>327</v>
      </c>
      <c r="E339" s="101" t="s">
        <v>393</v>
      </c>
      <c r="F339" s="92" t="s">
        <v>410</v>
      </c>
      <c r="G339" s="144">
        <f>VLOOKUP(F339,Volumenes!$D$137:$F$184,3,FALSE)</f>
        <v>2</v>
      </c>
      <c r="H339" s="102">
        <f>VLOOKUP(F339,Tiempos!$D$42:$F$131,2,FALSE)</f>
        <v>200</v>
      </c>
      <c r="I339" s="103">
        <f>VLOOKUP(F339,Tiempos!$D$42:$F$117,3,FALSE)</f>
        <v>1.7094017094017095</v>
      </c>
      <c r="J339" s="111">
        <f>+I339*(1+Tiempos!$C$17)</f>
        <v>1.7991452991452992</v>
      </c>
      <c r="K339" s="103">
        <f>+J339*G339</f>
        <v>3.5982905982905984</v>
      </c>
      <c r="L339" s="103">
        <f>+K339/Tiempos!$B$11</f>
        <v>7.8223708658491271E-3</v>
      </c>
      <c r="M339" s="262">
        <f>+K339/Tiempos!$B$12</f>
        <v>3.9111854329245636E-3</v>
      </c>
      <c r="N339" s="243"/>
      <c r="O339" s="243"/>
      <c r="P339" s="243"/>
      <c r="Q339" s="243"/>
    </row>
    <row r="340" spans="1:17" x14ac:dyDescent="0.35">
      <c r="A340" s="81"/>
      <c r="B340" s="81">
        <v>2</v>
      </c>
      <c r="C340" s="83">
        <v>1</v>
      </c>
      <c r="D340" s="83" t="s">
        <v>327</v>
      </c>
      <c r="E340" s="99" t="s">
        <v>470</v>
      </c>
      <c r="F340" s="81" t="str">
        <f>+F341</f>
        <v>CAJ_DOB_8</v>
      </c>
      <c r="G340" s="143">
        <f>VLOOKUP(F340,Volumenes!$D$137:$F$184,3,FALSE)</f>
        <v>37.893158599618836</v>
      </c>
      <c r="H340" s="97"/>
      <c r="I340" s="98">
        <f>15/60</f>
        <v>0.25</v>
      </c>
      <c r="J340" s="110">
        <f>+I340*(1+Tiempos!$C$17)</f>
        <v>0.263125</v>
      </c>
      <c r="K340" s="98">
        <f t="shared" ref="K340" si="62">+J340*G340</f>
        <v>9.9706373565247066</v>
      </c>
      <c r="L340" s="98">
        <f>+K340/Tiempos!$B$11</f>
        <v>2.1675298601140668E-2</v>
      </c>
      <c r="M340" s="261">
        <f>+K340/Tiempos!$B$12</f>
        <v>1.0837649300570334E-2</v>
      </c>
      <c r="N340" s="238"/>
      <c r="O340" s="238"/>
      <c r="P340" s="238"/>
      <c r="Q340" s="238"/>
    </row>
    <row r="341" spans="1:17" x14ac:dyDescent="0.35">
      <c r="A341" s="81"/>
      <c r="B341" s="81">
        <v>2</v>
      </c>
      <c r="C341" s="83">
        <v>1</v>
      </c>
      <c r="D341" s="83" t="s">
        <v>327</v>
      </c>
      <c r="E341" s="99" t="s">
        <v>399</v>
      </c>
      <c r="F341" s="81" t="s">
        <v>407</v>
      </c>
      <c r="G341" s="143">
        <f>VLOOKUP(F341,Volumenes!$D$137:$F$184,3,FALSE)</f>
        <v>37.893158599618836</v>
      </c>
      <c r="H341" s="97"/>
      <c r="I341" s="98">
        <f>15/60</f>
        <v>0.25</v>
      </c>
      <c r="J341" s="110">
        <f>+I341*(1+Tiempos!$C$17)</f>
        <v>0.263125</v>
      </c>
      <c r="K341" s="98">
        <f t="shared" ref="K341:K342" si="63">+J341*G341</f>
        <v>9.9706373565247066</v>
      </c>
      <c r="L341" s="98">
        <f>+K341/Tiempos!$B$11</f>
        <v>2.1675298601140668E-2</v>
      </c>
      <c r="M341" s="261">
        <f>+K341/Tiempos!$B$12</f>
        <v>1.0837649300570334E-2</v>
      </c>
      <c r="N341" s="238"/>
      <c r="O341" s="238"/>
      <c r="P341" s="238"/>
      <c r="Q341" s="238"/>
    </row>
    <row r="342" spans="1:17" x14ac:dyDescent="0.35">
      <c r="A342" s="81"/>
      <c r="B342" s="81">
        <v>2</v>
      </c>
      <c r="C342" s="83">
        <v>1</v>
      </c>
      <c r="D342" s="83" t="s">
        <v>327</v>
      </c>
      <c r="E342" s="99" t="s">
        <v>394</v>
      </c>
      <c r="F342" s="81" t="s">
        <v>407</v>
      </c>
      <c r="G342" s="143">
        <f>VLOOKUP(F342,Volumenes!$D$137:$F$184,3,FALSE)</f>
        <v>37.893158599618836</v>
      </c>
      <c r="H342" s="97"/>
      <c r="I342" s="98">
        <f>18/60</f>
        <v>0.3</v>
      </c>
      <c r="J342" s="110">
        <f>+I342*(1+Tiempos!$C$17)</f>
        <v>0.31574999999999998</v>
      </c>
      <c r="K342" s="98">
        <f t="shared" si="63"/>
        <v>11.964764827829647</v>
      </c>
      <c r="L342" s="98">
        <f>+K342/Tiempos!$B$11</f>
        <v>2.6010358321368797E-2</v>
      </c>
      <c r="M342" s="261">
        <f>+K342/Tiempos!$B$12</f>
        <v>1.3005179160684398E-2</v>
      </c>
      <c r="N342" s="238"/>
      <c r="O342" s="238"/>
      <c r="P342" s="238"/>
      <c r="Q342" s="238"/>
    </row>
    <row r="343" spans="1:17" x14ac:dyDescent="0.35">
      <c r="A343" s="81"/>
      <c r="B343" s="81">
        <v>2</v>
      </c>
      <c r="C343" s="83">
        <v>1</v>
      </c>
      <c r="D343" s="83" t="s">
        <v>327</v>
      </c>
      <c r="E343" s="99" t="s">
        <v>395</v>
      </c>
      <c r="F343" s="81" t="s">
        <v>407</v>
      </c>
      <c r="G343" s="143">
        <f>VLOOKUP(F343,Volumenes!$D$137:$F$184,3,FALSE)</f>
        <v>37.893158599618836</v>
      </c>
      <c r="H343" s="97"/>
      <c r="I343" s="98">
        <f>8/60</f>
        <v>0.13333333333333333</v>
      </c>
      <c r="J343" s="110">
        <f>+I343*(1+Tiempos!$C$17)</f>
        <v>0.14033333333333334</v>
      </c>
      <c r="K343" s="98">
        <f>+J343*G343</f>
        <v>5.317673256813177</v>
      </c>
      <c r="L343" s="98">
        <f>+K343/Tiempos!$B$11</f>
        <v>1.1560159253941689E-2</v>
      </c>
      <c r="M343" s="261">
        <f>+K343/Tiempos!$B$12</f>
        <v>5.7800796269708446E-3</v>
      </c>
      <c r="N343" s="238"/>
      <c r="O343" s="238"/>
      <c r="P343" s="238"/>
      <c r="Q343" s="238"/>
    </row>
    <row r="344" spans="1:17" x14ac:dyDescent="0.35">
      <c r="A344" s="92"/>
      <c r="B344" s="92">
        <v>2</v>
      </c>
      <c r="C344" s="100">
        <v>1</v>
      </c>
      <c r="D344" s="100" t="s">
        <v>327</v>
      </c>
      <c r="E344" s="101" t="s">
        <v>396</v>
      </c>
      <c r="F344" s="92" t="s">
        <v>410</v>
      </c>
      <c r="G344" s="144">
        <f>VLOOKUP(F344,Volumenes!$D$137:$F$184,3,FALSE)</f>
        <v>2</v>
      </c>
      <c r="H344" s="102">
        <f>VLOOKUP(F344,Tiempos!$D$42:$F$131,2,FALSE)</f>
        <v>200</v>
      </c>
      <c r="I344" s="103">
        <f>VLOOKUP(F344,Tiempos!$D$42:$F$117,3,FALSE)</f>
        <v>1.7094017094017095</v>
      </c>
      <c r="J344" s="111">
        <f>+I344*(1+Tiempos!$C$17)</f>
        <v>1.7991452991452992</v>
      </c>
      <c r="K344" s="103">
        <f>+J344*G344</f>
        <v>3.5982905982905984</v>
      </c>
      <c r="L344" s="103">
        <f>+K344/Tiempos!$B$11</f>
        <v>7.8223708658491271E-3</v>
      </c>
      <c r="M344" s="262">
        <f>+K344/Tiempos!$B$12</f>
        <v>3.9111854329245636E-3</v>
      </c>
      <c r="N344" s="243"/>
      <c r="O344" s="243"/>
      <c r="P344" s="243"/>
      <c r="Q344" s="243"/>
    </row>
    <row r="345" spans="1:17" x14ac:dyDescent="0.35">
      <c r="A345" s="81"/>
      <c r="B345" s="81">
        <v>2</v>
      </c>
      <c r="C345" s="83">
        <v>1</v>
      </c>
      <c r="D345" s="83" t="s">
        <v>327</v>
      </c>
      <c r="E345" s="99" t="s">
        <v>400</v>
      </c>
      <c r="F345" s="81" t="s">
        <v>407</v>
      </c>
      <c r="G345" s="143">
        <f>VLOOKUP(F345,Volumenes!$D$137:$F$184,3,FALSE)</f>
        <v>37.893158599618836</v>
      </c>
      <c r="H345" s="97"/>
      <c r="I345" s="98">
        <f>15/60</f>
        <v>0.25</v>
      </c>
      <c r="J345" s="110">
        <f>+I345*(1+Tiempos!$C$17)</f>
        <v>0.263125</v>
      </c>
      <c r="K345" s="98">
        <f>+J345*G345</f>
        <v>9.9706373565247066</v>
      </c>
      <c r="L345" s="271">
        <f>+K345/Tiempos!$B$11</f>
        <v>2.1675298601140668E-2</v>
      </c>
      <c r="M345" s="261">
        <f>+K345/Tiempos!$B$12</f>
        <v>1.0837649300570334E-2</v>
      </c>
      <c r="N345" s="246"/>
      <c r="O345" s="246"/>
      <c r="P345" s="246"/>
      <c r="Q345" s="246"/>
    </row>
    <row r="346" spans="1:17" x14ac:dyDescent="0.35">
      <c r="A346" s="92"/>
      <c r="B346" s="92">
        <v>2</v>
      </c>
      <c r="C346" s="100">
        <v>1</v>
      </c>
      <c r="D346" s="100" t="s">
        <v>327</v>
      </c>
      <c r="E346" s="101" t="s">
        <v>397</v>
      </c>
      <c r="F346" s="92" t="s">
        <v>410</v>
      </c>
      <c r="G346" s="144">
        <f>VLOOKUP(F346,Volumenes!$D$137:$F$184,3,FALSE)</f>
        <v>2</v>
      </c>
      <c r="H346" s="102">
        <v>15</v>
      </c>
      <c r="I346" s="103">
        <f>+(H346/Tiempos!$B$29)/60</f>
        <v>0.12820512820512822</v>
      </c>
      <c r="J346" s="111">
        <f>+I346*(1+Tiempos!$C$17)</f>
        <v>0.13493589743589746</v>
      </c>
      <c r="K346" s="103">
        <f>+J346*G346</f>
        <v>0.26987179487179491</v>
      </c>
      <c r="L346" s="103">
        <f>+K346/Tiempos!$B$11</f>
        <v>5.8667781493868464E-4</v>
      </c>
      <c r="M346" s="262">
        <f>+K346/Tiempos!$B$12</f>
        <v>2.9333890746934232E-4</v>
      </c>
      <c r="N346" s="243"/>
      <c r="O346" s="243"/>
      <c r="P346" s="243"/>
      <c r="Q346" s="243"/>
    </row>
    <row r="347" spans="1:17" x14ac:dyDescent="0.35">
      <c r="A347" s="75"/>
      <c r="B347" s="75"/>
      <c r="E347" s="104"/>
      <c r="F347" s="75"/>
      <c r="G347" s="152"/>
      <c r="H347" s="105"/>
      <c r="I347" s="109"/>
      <c r="J347" s="107"/>
      <c r="K347" s="109"/>
      <c r="L347" s="98">
        <f>SUM(L337:L345)</f>
        <v>0.13170801726292314</v>
      </c>
      <c r="M347" s="141">
        <f>SUM(M337:M345)</f>
        <v>6.5854008631461569E-2</v>
      </c>
      <c r="N347" s="141">
        <f>SUM(N337:N345)</f>
        <v>0</v>
      </c>
      <c r="O347" s="141"/>
      <c r="P347" s="141">
        <f>SUM(P337:P345)</f>
        <v>0</v>
      </c>
      <c r="Q347" s="141">
        <f>SUM(Q337:Q345)</f>
        <v>0</v>
      </c>
    </row>
    <row r="348" spans="1:17" x14ac:dyDescent="0.35">
      <c r="A348" s="75"/>
      <c r="B348" s="75"/>
      <c r="E348" s="104"/>
      <c r="F348" s="75"/>
      <c r="G348" s="152"/>
      <c r="H348" s="105"/>
      <c r="I348" s="109"/>
      <c r="J348" s="107"/>
      <c r="K348" s="109"/>
      <c r="L348" s="249"/>
      <c r="M348" s="249"/>
      <c r="N348" s="249"/>
      <c r="O348" s="249"/>
      <c r="P348" s="249"/>
      <c r="Q348" s="249"/>
    </row>
    <row r="349" spans="1:17" ht="13.15" x14ac:dyDescent="0.4">
      <c r="A349" s="84" t="s">
        <v>472</v>
      </c>
      <c r="B349" s="84"/>
      <c r="C349" s="70"/>
      <c r="D349" s="70"/>
      <c r="E349" s="94"/>
      <c r="F349" s="80"/>
      <c r="G349" s="154"/>
      <c r="H349" s="80"/>
      <c r="I349" s="80"/>
      <c r="J349" s="80"/>
      <c r="K349" s="80"/>
      <c r="L349" s="80"/>
    </row>
    <row r="350" spans="1:17" x14ac:dyDescent="0.35">
      <c r="A350" s="81"/>
      <c r="B350" s="81">
        <v>2</v>
      </c>
      <c r="C350" s="83">
        <v>1</v>
      </c>
      <c r="D350" s="83" t="s">
        <v>327</v>
      </c>
      <c r="E350" s="99" t="s">
        <v>398</v>
      </c>
      <c r="F350" s="81" t="s">
        <v>408</v>
      </c>
      <c r="G350" s="143">
        <f>VLOOKUP(F350,Volumenes!$D$137:$F$184,3,FALSE)</f>
        <v>25.262105733079224</v>
      </c>
      <c r="H350" s="97"/>
      <c r="I350" s="98">
        <f>8/60</f>
        <v>0.13333333333333333</v>
      </c>
      <c r="J350" s="110">
        <f>+I350*(1+Tiempos!$C$17)</f>
        <v>0.14033333333333334</v>
      </c>
      <c r="K350" s="98">
        <f>+J350*G350</f>
        <v>3.5451155045421179</v>
      </c>
      <c r="L350" s="98">
        <f>+K350/Tiempos!$B$11</f>
        <v>7.7067728359611256E-3</v>
      </c>
      <c r="M350" s="261">
        <f>+K350/Tiempos!$B$12</f>
        <v>3.8533864179805628E-3</v>
      </c>
      <c r="N350" s="238"/>
      <c r="O350" s="238"/>
      <c r="P350" s="238"/>
      <c r="Q350" s="238"/>
    </row>
    <row r="351" spans="1:17" x14ac:dyDescent="0.35">
      <c r="A351" s="81"/>
      <c r="B351" s="81">
        <v>2</v>
      </c>
      <c r="C351" s="83">
        <v>1</v>
      </c>
      <c r="D351" s="83" t="s">
        <v>327</v>
      </c>
      <c r="E351" s="99" t="s">
        <v>469</v>
      </c>
      <c r="F351" s="81" t="str">
        <f t="shared" ref="F351:F359" si="64">+F350</f>
        <v>CAJ_DOB_35</v>
      </c>
      <c r="G351" s="143">
        <f>VLOOKUP(F351,Volumenes!$D$137:$F$184,3,FALSE)</f>
        <v>25.262105733079224</v>
      </c>
      <c r="H351" s="97"/>
      <c r="I351" s="98">
        <f>25/60</f>
        <v>0.41666666666666669</v>
      </c>
      <c r="J351" s="110">
        <f>+I351*(1+Tiempos!$C$17)</f>
        <v>0.43854166666666666</v>
      </c>
      <c r="K351" s="98">
        <f>+J351*G351</f>
        <v>11.078485951694118</v>
      </c>
      <c r="L351" s="98">
        <f>+K351/Tiempos!$B$11</f>
        <v>2.4083665112378517E-2</v>
      </c>
      <c r="M351" s="261">
        <f>+K351/Tiempos!$B$12</f>
        <v>1.2041832556189258E-2</v>
      </c>
      <c r="N351" s="238"/>
      <c r="O351" s="238"/>
      <c r="P351" s="238"/>
      <c r="Q351" s="238"/>
    </row>
    <row r="352" spans="1:17" x14ac:dyDescent="0.35">
      <c r="A352" s="92"/>
      <c r="B352" s="92">
        <v>2</v>
      </c>
      <c r="C352" s="100">
        <v>1</v>
      </c>
      <c r="D352" s="100" t="s">
        <v>327</v>
      </c>
      <c r="E352" s="101" t="s">
        <v>393</v>
      </c>
      <c r="F352" s="92" t="str">
        <f t="shared" si="64"/>
        <v>CAJ_DOB_35</v>
      </c>
      <c r="G352" s="144">
        <f>VLOOKUP(F352,Volumenes!$D$137:$F$184,3,FALSE)</f>
        <v>25.262105733079224</v>
      </c>
      <c r="H352" s="102">
        <v>70</v>
      </c>
      <c r="I352" s="103">
        <f>+(H352/Tiempos!$B$29)/60</f>
        <v>0.59829059829059827</v>
      </c>
      <c r="J352" s="111">
        <f>+I352*(1+Tiempos!$C$17)</f>
        <v>0.62970085470085468</v>
      </c>
      <c r="K352" s="103">
        <f>+J352*G352</f>
        <v>15.907569571663348</v>
      </c>
      <c r="L352" s="103">
        <f>+K352/Tiempos!$B$11</f>
        <v>3.4581672981876845E-2</v>
      </c>
      <c r="M352" s="262">
        <f>+K352/Tiempos!$B$12</f>
        <v>1.7290836490938422E-2</v>
      </c>
      <c r="N352" s="243"/>
      <c r="O352" s="243"/>
      <c r="P352" s="243"/>
      <c r="Q352" s="243"/>
    </row>
    <row r="353" spans="1:17" x14ac:dyDescent="0.35">
      <c r="A353" s="81"/>
      <c r="B353" s="81">
        <v>2</v>
      </c>
      <c r="C353" s="83">
        <v>1</v>
      </c>
      <c r="D353" s="83" t="s">
        <v>327</v>
      </c>
      <c r="E353" s="99" t="s">
        <v>470</v>
      </c>
      <c r="F353" s="81" t="str">
        <f t="shared" si="64"/>
        <v>CAJ_DOB_35</v>
      </c>
      <c r="G353" s="143">
        <f>VLOOKUP(F353,Volumenes!$D$137:$F$184,3,FALSE)</f>
        <v>25.262105733079224</v>
      </c>
      <c r="H353" s="97"/>
      <c r="I353" s="98">
        <f>15/60</f>
        <v>0.25</v>
      </c>
      <c r="J353" s="110">
        <f>+I353*(1+Tiempos!$C$17)</f>
        <v>0.263125</v>
      </c>
      <c r="K353" s="98">
        <f t="shared" ref="K353:K355" si="65">+J353*G353</f>
        <v>6.6470915710164711</v>
      </c>
      <c r="L353" s="98">
        <f>+K353/Tiempos!$B$11</f>
        <v>1.4450199067427111E-2</v>
      </c>
      <c r="M353" s="261">
        <f>+K353/Tiempos!$B$12</f>
        <v>7.2250995337135556E-3</v>
      </c>
      <c r="N353" s="238"/>
      <c r="O353" s="238"/>
      <c r="P353" s="238"/>
      <c r="Q353" s="238"/>
    </row>
    <row r="354" spans="1:17" x14ac:dyDescent="0.35">
      <c r="A354" s="81"/>
      <c r="B354" s="81">
        <v>2</v>
      </c>
      <c r="C354" s="83">
        <v>1</v>
      </c>
      <c r="D354" s="83" t="s">
        <v>327</v>
      </c>
      <c r="E354" s="99" t="s">
        <v>399</v>
      </c>
      <c r="F354" s="81" t="str">
        <f t="shared" si="64"/>
        <v>CAJ_DOB_35</v>
      </c>
      <c r="G354" s="143">
        <f>VLOOKUP(F354,Volumenes!$D$137:$F$184,3,FALSE)</f>
        <v>25.262105733079224</v>
      </c>
      <c r="H354" s="97"/>
      <c r="I354" s="98">
        <f>15/60</f>
        <v>0.25</v>
      </c>
      <c r="J354" s="110">
        <f>+I354*(1+Tiempos!$C$17)</f>
        <v>0.263125</v>
      </c>
      <c r="K354" s="98">
        <f t="shared" si="65"/>
        <v>6.6470915710164711</v>
      </c>
      <c r="L354" s="98">
        <f>+K354/Tiempos!$B$11</f>
        <v>1.4450199067427111E-2</v>
      </c>
      <c r="M354" s="261">
        <f>+K354/Tiempos!$B$12</f>
        <v>7.2250995337135556E-3</v>
      </c>
      <c r="N354" s="238"/>
      <c r="O354" s="238"/>
      <c r="P354" s="238"/>
      <c r="Q354" s="238"/>
    </row>
    <row r="355" spans="1:17" x14ac:dyDescent="0.35">
      <c r="A355" s="81"/>
      <c r="B355" s="81">
        <v>2</v>
      </c>
      <c r="C355" s="83">
        <v>1</v>
      </c>
      <c r="D355" s="83" t="s">
        <v>327</v>
      </c>
      <c r="E355" s="99" t="s">
        <v>394</v>
      </c>
      <c r="F355" s="81" t="str">
        <f t="shared" si="64"/>
        <v>CAJ_DOB_35</v>
      </c>
      <c r="G355" s="143">
        <f>VLOOKUP(F355,Volumenes!$D$137:$F$184,3,FALSE)</f>
        <v>25.262105733079224</v>
      </c>
      <c r="H355" s="97"/>
      <c r="I355" s="98">
        <f>18/60</f>
        <v>0.3</v>
      </c>
      <c r="J355" s="110">
        <f>+I355*(1+Tiempos!$C$17)</f>
        <v>0.31574999999999998</v>
      </c>
      <c r="K355" s="98">
        <f t="shared" si="65"/>
        <v>7.9765098852197642</v>
      </c>
      <c r="L355" s="98">
        <f>+K355/Tiempos!$B$11</f>
        <v>1.7340238880912531E-2</v>
      </c>
      <c r="M355" s="261">
        <f>+K355/Tiempos!$B$12</f>
        <v>8.6701194404562656E-3</v>
      </c>
      <c r="N355" s="238"/>
      <c r="O355" s="238"/>
      <c r="P355" s="238"/>
      <c r="Q355" s="238"/>
    </row>
    <row r="356" spans="1:17" x14ac:dyDescent="0.35">
      <c r="A356" s="81"/>
      <c r="B356" s="81">
        <v>2</v>
      </c>
      <c r="C356" s="83">
        <v>1</v>
      </c>
      <c r="D356" s="83" t="s">
        <v>327</v>
      </c>
      <c r="E356" s="99" t="s">
        <v>395</v>
      </c>
      <c r="F356" s="81" t="str">
        <f t="shared" si="64"/>
        <v>CAJ_DOB_35</v>
      </c>
      <c r="G356" s="143">
        <f>VLOOKUP(F356,Volumenes!$D$137:$F$184,3,FALSE)</f>
        <v>25.262105733079224</v>
      </c>
      <c r="H356" s="97"/>
      <c r="I356" s="98">
        <f>8/60</f>
        <v>0.13333333333333333</v>
      </c>
      <c r="J356" s="110">
        <f>+I356*(1+Tiempos!$C$17)</f>
        <v>0.14033333333333334</v>
      </c>
      <c r="K356" s="98">
        <f>+J356*G356</f>
        <v>3.5451155045421179</v>
      </c>
      <c r="L356" s="98">
        <f>+K356/Tiempos!$B$11</f>
        <v>7.7067728359611256E-3</v>
      </c>
      <c r="M356" s="261">
        <f>+K356/Tiempos!$B$12</f>
        <v>3.8533864179805628E-3</v>
      </c>
      <c r="N356" s="238"/>
      <c r="O356" s="238"/>
      <c r="P356" s="238"/>
      <c r="Q356" s="238"/>
    </row>
    <row r="357" spans="1:17" x14ac:dyDescent="0.35">
      <c r="A357" s="92"/>
      <c r="B357" s="92">
        <v>2</v>
      </c>
      <c r="C357" s="100">
        <v>1</v>
      </c>
      <c r="D357" s="100" t="s">
        <v>327</v>
      </c>
      <c r="E357" s="101" t="s">
        <v>396</v>
      </c>
      <c r="F357" s="92" t="str">
        <f t="shared" si="64"/>
        <v>CAJ_DOB_35</v>
      </c>
      <c r="G357" s="144">
        <f>VLOOKUP(F357,Volumenes!$D$137:$F$184,3,FALSE)</f>
        <v>25.262105733079224</v>
      </c>
      <c r="H357" s="102">
        <v>70</v>
      </c>
      <c r="I357" s="103">
        <f>+(H357/Tiempos!$B$29)/60</f>
        <v>0.59829059829059827</v>
      </c>
      <c r="J357" s="111">
        <f>+I357*(1+Tiempos!$C$17)</f>
        <v>0.62970085470085468</v>
      </c>
      <c r="K357" s="103">
        <f>+J357*G357</f>
        <v>15.907569571663348</v>
      </c>
      <c r="L357" s="103">
        <f>+K357/Tiempos!$B$11</f>
        <v>3.4581672981876845E-2</v>
      </c>
      <c r="M357" s="262">
        <f>+K357/Tiempos!$B$12</f>
        <v>1.7290836490938422E-2</v>
      </c>
      <c r="N357" s="243"/>
      <c r="O357" s="243"/>
      <c r="P357" s="243"/>
      <c r="Q357" s="243"/>
    </row>
    <row r="358" spans="1:17" x14ac:dyDescent="0.35">
      <c r="A358" s="81"/>
      <c r="B358" s="81">
        <v>2</v>
      </c>
      <c r="C358" s="83">
        <v>1</v>
      </c>
      <c r="D358" s="83" t="s">
        <v>327</v>
      </c>
      <c r="E358" s="99" t="s">
        <v>400</v>
      </c>
      <c r="F358" s="81" t="str">
        <f t="shared" si="64"/>
        <v>CAJ_DOB_35</v>
      </c>
      <c r="G358" s="143">
        <f>VLOOKUP(F358,Volumenes!$D$137:$F$184,3,FALSE)</f>
        <v>25.262105733079224</v>
      </c>
      <c r="H358" s="97"/>
      <c r="I358" s="98">
        <f>15/60</f>
        <v>0.25</v>
      </c>
      <c r="J358" s="110">
        <f>+I358*(1+Tiempos!$C$17)</f>
        <v>0.263125</v>
      </c>
      <c r="K358" s="98">
        <f>+J358*G358</f>
        <v>6.6470915710164711</v>
      </c>
      <c r="L358" s="271">
        <f>+K358/Tiempos!$B$11</f>
        <v>1.4450199067427111E-2</v>
      </c>
      <c r="M358" s="261">
        <f>+K358/Tiempos!$B$12</f>
        <v>7.2250995337135556E-3</v>
      </c>
      <c r="N358" s="246"/>
      <c r="O358" s="246"/>
      <c r="P358" s="246"/>
      <c r="Q358" s="246"/>
    </row>
    <row r="359" spans="1:17" x14ac:dyDescent="0.35">
      <c r="A359" s="92"/>
      <c r="B359" s="92">
        <v>2</v>
      </c>
      <c r="C359" s="100">
        <v>1</v>
      </c>
      <c r="D359" s="100" t="s">
        <v>327</v>
      </c>
      <c r="E359" s="101" t="s">
        <v>397</v>
      </c>
      <c r="F359" s="92" t="str">
        <f t="shared" si="64"/>
        <v>CAJ_DOB_35</v>
      </c>
      <c r="G359" s="144">
        <f>VLOOKUP(F359,Volumenes!$D$137:$F$184,3,FALSE)</f>
        <v>25.262105733079224</v>
      </c>
      <c r="H359" s="102">
        <v>15</v>
      </c>
      <c r="I359" s="103">
        <f>+(H359/Tiempos!$B$29)/60</f>
        <v>0.12820512820512822</v>
      </c>
      <c r="J359" s="111">
        <f>+I359*(1+Tiempos!$C$17)</f>
        <v>0.13493589743589746</v>
      </c>
      <c r="K359" s="103">
        <f>+J359*G359</f>
        <v>3.4087649082135751</v>
      </c>
      <c r="L359" s="103">
        <f>+K359/Tiempos!$B$11</f>
        <v>7.4103584961164679E-3</v>
      </c>
      <c r="M359" s="262">
        <f>+K359/Tiempos!$B$12</f>
        <v>3.705179248058234E-3</v>
      </c>
      <c r="N359" s="243"/>
      <c r="O359" s="243"/>
      <c r="P359" s="243"/>
      <c r="Q359" s="243"/>
    </row>
    <row r="360" spans="1:17" x14ac:dyDescent="0.35">
      <c r="A360" s="75"/>
      <c r="B360" s="75"/>
      <c r="E360" s="104"/>
      <c r="F360" s="75"/>
      <c r="G360" s="152"/>
      <c r="H360" s="105"/>
      <c r="I360" s="109"/>
      <c r="J360" s="107"/>
      <c r="K360" s="109"/>
      <c r="L360" s="141">
        <f>SUM(L350:L358)</f>
        <v>0.16935139283124834</v>
      </c>
      <c r="M360" s="141">
        <f>SUM(M350:M358)</f>
        <v>8.4675696415624169E-2</v>
      </c>
      <c r="N360" s="141">
        <f>SUM(N350:N358)</f>
        <v>0</v>
      </c>
      <c r="O360" s="141"/>
      <c r="P360" s="141">
        <f>SUM(P350:P358)</f>
        <v>0</v>
      </c>
      <c r="Q360" s="141">
        <f>SUM(Q350:Q358)</f>
        <v>0</v>
      </c>
    </row>
    <row r="361" spans="1:17" x14ac:dyDescent="0.35">
      <c r="A361" s="75"/>
      <c r="B361" s="75"/>
      <c r="E361" s="104"/>
      <c r="F361" s="75"/>
      <c r="G361" s="152"/>
      <c r="H361" s="105"/>
      <c r="I361" s="109"/>
      <c r="J361" s="107"/>
      <c r="K361" s="109"/>
      <c r="L361" s="249"/>
      <c r="M361" s="249"/>
      <c r="N361" s="249"/>
      <c r="O361" s="249"/>
      <c r="P361" s="249"/>
      <c r="Q361" s="249"/>
    </row>
    <row r="362" spans="1:17" ht="13.15" x14ac:dyDescent="0.4">
      <c r="A362" s="84" t="s">
        <v>471</v>
      </c>
      <c r="B362" s="84"/>
      <c r="C362" s="70"/>
      <c r="D362" s="70"/>
      <c r="E362" s="94"/>
      <c r="F362" s="80"/>
      <c r="G362" s="154"/>
      <c r="H362" s="80"/>
      <c r="I362" s="80"/>
      <c r="J362" s="80"/>
      <c r="K362" s="80"/>
      <c r="L362" s="80"/>
    </row>
    <row r="363" spans="1:17" x14ac:dyDescent="0.35">
      <c r="A363" s="81"/>
      <c r="B363" s="81">
        <v>2</v>
      </c>
      <c r="C363" s="83">
        <v>1</v>
      </c>
      <c r="D363" s="83" t="s">
        <v>327</v>
      </c>
      <c r="E363" s="99" t="s">
        <v>398</v>
      </c>
      <c r="F363" s="81" t="s">
        <v>409</v>
      </c>
      <c r="G363" s="143">
        <f>VLOOKUP(F363,Volumenes!$D$137:$F$184,3,FALSE)</f>
        <v>0.70172515925220069</v>
      </c>
      <c r="H363" s="97"/>
      <c r="I363" s="98">
        <f>8/60</f>
        <v>0.13333333333333333</v>
      </c>
      <c r="J363" s="110">
        <f>+I363*(1+Tiempos!$C$17)</f>
        <v>0.14033333333333334</v>
      </c>
      <c r="K363" s="98">
        <f>+J363*G363</f>
        <v>9.8475430681725498E-2</v>
      </c>
      <c r="L363" s="98">
        <f>+K363/Tiempos!$B$11</f>
        <v>2.1407702322114239E-4</v>
      </c>
      <c r="M363" s="261">
        <f>+K363/Tiempos!$B$12</f>
        <v>1.070385116105712E-4</v>
      </c>
      <c r="N363" s="238"/>
      <c r="O363" s="238"/>
      <c r="P363" s="238"/>
      <c r="Q363" s="238"/>
    </row>
    <row r="364" spans="1:17" x14ac:dyDescent="0.35">
      <c r="A364" s="81"/>
      <c r="B364" s="81">
        <v>2</v>
      </c>
      <c r="C364" s="83">
        <v>1</v>
      </c>
      <c r="D364" s="83" t="s">
        <v>327</v>
      </c>
      <c r="E364" s="99" t="s">
        <v>469</v>
      </c>
      <c r="F364" s="81" t="str">
        <f t="shared" ref="F364:F372" si="66">+F363</f>
        <v>CAJ_DOB_80</v>
      </c>
      <c r="G364" s="143">
        <f>VLOOKUP(F364,Volumenes!$D$137:$F$184,3,FALSE)</f>
        <v>0.70172515925220069</v>
      </c>
      <c r="H364" s="97"/>
      <c r="I364" s="98">
        <f>25/60</f>
        <v>0.41666666666666669</v>
      </c>
      <c r="J364" s="110">
        <f>+I364*(1+Tiempos!$C$17)</f>
        <v>0.43854166666666666</v>
      </c>
      <c r="K364" s="98">
        <f>+J364*G364</f>
        <v>0.30773572088039219</v>
      </c>
      <c r="L364" s="98">
        <f>+K364/Tiempos!$B$11</f>
        <v>6.6899069756606996E-4</v>
      </c>
      <c r="M364" s="261">
        <f>+K364/Tiempos!$B$12</f>
        <v>3.3449534878303498E-4</v>
      </c>
      <c r="N364" s="238"/>
      <c r="O364" s="238"/>
      <c r="P364" s="238"/>
      <c r="Q364" s="238"/>
    </row>
    <row r="365" spans="1:17" x14ac:dyDescent="0.35">
      <c r="A365" s="92"/>
      <c r="B365" s="92">
        <v>2</v>
      </c>
      <c r="C365" s="100">
        <v>1</v>
      </c>
      <c r="D365" s="100" t="s">
        <v>327</v>
      </c>
      <c r="E365" s="101" t="s">
        <v>393</v>
      </c>
      <c r="F365" s="92" t="str">
        <f t="shared" si="66"/>
        <v>CAJ_DOB_80</v>
      </c>
      <c r="G365" s="144">
        <f>VLOOKUP(F365,Volumenes!$D$137:$F$184,3,FALSE)</f>
        <v>0.70172515925220069</v>
      </c>
      <c r="H365" s="102">
        <v>20</v>
      </c>
      <c r="I365" s="103">
        <f>+(H365/Tiempos!$B$29)/60</f>
        <v>0.17094017094017094</v>
      </c>
      <c r="J365" s="111">
        <f>+I365*(1+Tiempos!$C$17)</f>
        <v>0.17991452991452991</v>
      </c>
      <c r="K365" s="103">
        <f>+J365*G365</f>
        <v>0.12625055215605832</v>
      </c>
      <c r="L365" s="103">
        <f>+K365/Tiempos!$B$11</f>
        <v>2.7445772207838767E-4</v>
      </c>
      <c r="M365" s="262">
        <f>+K365/Tiempos!$B$12</f>
        <v>1.3722886103919384E-4</v>
      </c>
      <c r="N365" s="243"/>
      <c r="O365" s="243"/>
      <c r="P365" s="243"/>
      <c r="Q365" s="243"/>
    </row>
    <row r="366" spans="1:17" x14ac:dyDescent="0.35">
      <c r="A366" s="81"/>
      <c r="B366" s="81">
        <v>2</v>
      </c>
      <c r="C366" s="83">
        <v>1</v>
      </c>
      <c r="D366" s="83" t="s">
        <v>327</v>
      </c>
      <c r="E366" s="99" t="s">
        <v>470</v>
      </c>
      <c r="F366" s="81" t="str">
        <f t="shared" si="66"/>
        <v>CAJ_DOB_80</v>
      </c>
      <c r="G366" s="143">
        <f>VLOOKUP(F366,Volumenes!$D$137:$F$184,3,FALSE)</f>
        <v>0.70172515925220069</v>
      </c>
      <c r="H366" s="97"/>
      <c r="I366" s="98">
        <f>15/60</f>
        <v>0.25</v>
      </c>
      <c r="J366" s="110">
        <f>+I366*(1+Tiempos!$C$17)</f>
        <v>0.263125</v>
      </c>
      <c r="K366" s="98">
        <f t="shared" ref="K366:K368" si="67">+J366*G366</f>
        <v>0.18464143252823531</v>
      </c>
      <c r="L366" s="98">
        <f>+K366/Tiempos!$B$11</f>
        <v>4.0139441853964198E-4</v>
      </c>
      <c r="M366" s="261">
        <f>+K366/Tiempos!$B$12</f>
        <v>2.0069720926982099E-4</v>
      </c>
      <c r="N366" s="238"/>
      <c r="O366" s="238"/>
      <c r="P366" s="238"/>
      <c r="Q366" s="238"/>
    </row>
    <row r="367" spans="1:17" x14ac:dyDescent="0.35">
      <c r="A367" s="81"/>
      <c r="B367" s="81">
        <v>2</v>
      </c>
      <c r="C367" s="83">
        <v>1</v>
      </c>
      <c r="D367" s="83" t="s">
        <v>327</v>
      </c>
      <c r="E367" s="99" t="s">
        <v>399</v>
      </c>
      <c r="F367" s="81" t="str">
        <f t="shared" si="66"/>
        <v>CAJ_DOB_80</v>
      </c>
      <c r="G367" s="143">
        <f>VLOOKUP(F367,Volumenes!$D$137:$F$184,3,FALSE)</f>
        <v>0.70172515925220069</v>
      </c>
      <c r="H367" s="97"/>
      <c r="I367" s="98">
        <f>15/60</f>
        <v>0.25</v>
      </c>
      <c r="J367" s="110">
        <f>+I367*(1+Tiempos!$C$17)</f>
        <v>0.263125</v>
      </c>
      <c r="K367" s="98">
        <f t="shared" si="67"/>
        <v>0.18464143252823531</v>
      </c>
      <c r="L367" s="98">
        <f>+K367/Tiempos!$B$11</f>
        <v>4.0139441853964198E-4</v>
      </c>
      <c r="M367" s="261">
        <f>+K367/Tiempos!$B$12</f>
        <v>2.0069720926982099E-4</v>
      </c>
      <c r="N367" s="238"/>
      <c r="O367" s="238"/>
      <c r="P367" s="238"/>
      <c r="Q367" s="238"/>
    </row>
    <row r="368" spans="1:17" x14ac:dyDescent="0.35">
      <c r="A368" s="81"/>
      <c r="B368" s="81">
        <v>2</v>
      </c>
      <c r="C368" s="83">
        <v>1</v>
      </c>
      <c r="D368" s="83" t="s">
        <v>327</v>
      </c>
      <c r="E368" s="99" t="s">
        <v>394</v>
      </c>
      <c r="F368" s="81" t="str">
        <f t="shared" si="66"/>
        <v>CAJ_DOB_80</v>
      </c>
      <c r="G368" s="143">
        <f>VLOOKUP(F368,Volumenes!$D$137:$F$184,3,FALSE)</f>
        <v>0.70172515925220069</v>
      </c>
      <c r="H368" s="97"/>
      <c r="I368" s="98">
        <f>18/60</f>
        <v>0.3</v>
      </c>
      <c r="J368" s="110">
        <f>+I368*(1+Tiempos!$C$17)</f>
        <v>0.31574999999999998</v>
      </c>
      <c r="K368" s="98">
        <f t="shared" si="67"/>
        <v>0.22156971903388234</v>
      </c>
      <c r="L368" s="98">
        <f>+K368/Tiempos!$B$11</f>
        <v>4.816733022475703E-4</v>
      </c>
      <c r="M368" s="261">
        <f>+K368/Tiempos!$B$12</f>
        <v>2.4083665112378515E-4</v>
      </c>
      <c r="N368" s="238"/>
      <c r="O368" s="238"/>
      <c r="P368" s="238"/>
      <c r="Q368" s="238"/>
    </row>
    <row r="369" spans="1:17" x14ac:dyDescent="0.35">
      <c r="A369" s="81"/>
      <c r="B369" s="81">
        <v>2</v>
      </c>
      <c r="C369" s="83">
        <v>1</v>
      </c>
      <c r="D369" s="83" t="s">
        <v>327</v>
      </c>
      <c r="E369" s="99" t="s">
        <v>395</v>
      </c>
      <c r="F369" s="81" t="str">
        <f t="shared" si="66"/>
        <v>CAJ_DOB_80</v>
      </c>
      <c r="G369" s="143">
        <f>VLOOKUP(F369,Volumenes!$D$137:$F$184,3,FALSE)</f>
        <v>0.70172515925220069</v>
      </c>
      <c r="H369" s="97"/>
      <c r="I369" s="98">
        <f>8/60</f>
        <v>0.13333333333333333</v>
      </c>
      <c r="J369" s="110">
        <f>+I369*(1+Tiempos!$C$17)</f>
        <v>0.14033333333333334</v>
      </c>
      <c r="K369" s="98">
        <f>+J369*G369</f>
        <v>9.8475430681725498E-2</v>
      </c>
      <c r="L369" s="98">
        <f>+K369/Tiempos!$B$11</f>
        <v>2.1407702322114239E-4</v>
      </c>
      <c r="M369" s="261">
        <f>+K369/Tiempos!$B$12</f>
        <v>1.070385116105712E-4</v>
      </c>
      <c r="N369" s="238"/>
      <c r="O369" s="238"/>
      <c r="P369" s="238"/>
      <c r="Q369" s="238"/>
    </row>
    <row r="370" spans="1:17" x14ac:dyDescent="0.35">
      <c r="A370" s="92"/>
      <c r="B370" s="92">
        <v>2</v>
      </c>
      <c r="C370" s="100">
        <v>1</v>
      </c>
      <c r="D370" s="100" t="s">
        <v>327</v>
      </c>
      <c r="E370" s="101" t="s">
        <v>396</v>
      </c>
      <c r="F370" s="92" t="str">
        <f t="shared" si="66"/>
        <v>CAJ_DOB_80</v>
      </c>
      <c r="G370" s="144">
        <f>VLOOKUP(F370,Volumenes!$D$137:$F$184,3,FALSE)</f>
        <v>0.70172515925220069</v>
      </c>
      <c r="H370" s="102">
        <v>20</v>
      </c>
      <c r="I370" s="103">
        <f>+(H370/Tiempos!$B$29)/60</f>
        <v>0.17094017094017094</v>
      </c>
      <c r="J370" s="111">
        <f>+I370*(1+Tiempos!$C$17)</f>
        <v>0.17991452991452991</v>
      </c>
      <c r="K370" s="103">
        <f>+J370*G370</f>
        <v>0.12625055215605832</v>
      </c>
      <c r="L370" s="103">
        <f>+K370/Tiempos!$B$11</f>
        <v>2.7445772207838767E-4</v>
      </c>
      <c r="M370" s="262">
        <f>+K370/Tiempos!$B$12</f>
        <v>1.3722886103919384E-4</v>
      </c>
      <c r="N370" s="243"/>
      <c r="O370" s="243"/>
      <c r="P370" s="243"/>
      <c r="Q370" s="243"/>
    </row>
    <row r="371" spans="1:17" x14ac:dyDescent="0.35">
      <c r="A371" s="81"/>
      <c r="B371" s="81">
        <v>2</v>
      </c>
      <c r="C371" s="83">
        <v>1</v>
      </c>
      <c r="D371" s="83" t="s">
        <v>327</v>
      </c>
      <c r="E371" s="99" t="s">
        <v>400</v>
      </c>
      <c r="F371" s="81" t="str">
        <f t="shared" si="66"/>
        <v>CAJ_DOB_80</v>
      </c>
      <c r="G371" s="143">
        <f>VLOOKUP(F371,Volumenes!$D$137:$F$184,3,FALSE)</f>
        <v>0.70172515925220069</v>
      </c>
      <c r="H371" s="97"/>
      <c r="I371" s="98">
        <f>15/60</f>
        <v>0.25</v>
      </c>
      <c r="J371" s="110">
        <f>+I371*(1+Tiempos!$C$17)</f>
        <v>0.263125</v>
      </c>
      <c r="K371" s="98">
        <f>+J371*G371</f>
        <v>0.18464143252823531</v>
      </c>
      <c r="L371" s="271">
        <f>+K371/Tiempos!$B$11</f>
        <v>4.0139441853964198E-4</v>
      </c>
      <c r="M371" s="261">
        <f>+K371/Tiempos!$B$12</f>
        <v>2.0069720926982099E-4</v>
      </c>
      <c r="N371" s="246"/>
      <c r="O371" s="246"/>
      <c r="P371" s="246"/>
      <c r="Q371" s="246"/>
    </row>
    <row r="372" spans="1:17" x14ac:dyDescent="0.35">
      <c r="A372" s="92"/>
      <c r="B372" s="92">
        <v>2</v>
      </c>
      <c r="C372" s="100">
        <v>1</v>
      </c>
      <c r="D372" s="100" t="s">
        <v>327</v>
      </c>
      <c r="E372" s="101" t="s">
        <v>397</v>
      </c>
      <c r="F372" s="92" t="str">
        <f t="shared" si="66"/>
        <v>CAJ_DOB_80</v>
      </c>
      <c r="G372" s="144">
        <f>VLOOKUP(F372,Volumenes!$D$137:$F$184,3,FALSE)</f>
        <v>0.70172515925220069</v>
      </c>
      <c r="H372" s="102">
        <v>15</v>
      </c>
      <c r="I372" s="103">
        <f>+(H372/Tiempos!$B$29)/60</f>
        <v>0.12820512820512822</v>
      </c>
      <c r="J372" s="111">
        <f>+I372*(1+Tiempos!$C$17)</f>
        <v>0.13493589743589746</v>
      </c>
      <c r="K372" s="103">
        <f>+J372*G372</f>
        <v>9.4687914117043762E-2</v>
      </c>
      <c r="L372" s="103">
        <f>+K372/Tiempos!$B$11</f>
        <v>2.058432915587908E-4</v>
      </c>
      <c r="M372" s="262">
        <f>+K372/Tiempos!$B$12</f>
        <v>1.029216457793954E-4</v>
      </c>
      <c r="N372" s="243"/>
      <c r="O372" s="243"/>
      <c r="P372" s="243"/>
      <c r="Q372" s="243"/>
    </row>
    <row r="373" spans="1:17" x14ac:dyDescent="0.35">
      <c r="A373" s="75"/>
      <c r="B373" s="75"/>
      <c r="E373" s="104"/>
      <c r="F373" s="75"/>
      <c r="G373" s="105"/>
      <c r="H373" s="105"/>
      <c r="I373" s="109"/>
      <c r="J373" s="107"/>
      <c r="K373" s="109"/>
      <c r="L373" s="98">
        <f>SUM(L363:L371)</f>
        <v>3.3319167460316265E-3</v>
      </c>
      <c r="M373" s="141">
        <f>SUM(M363:M371)</f>
        <v>1.6659583730158133E-3</v>
      </c>
      <c r="N373" s="141">
        <f>SUM(N363:N371)</f>
        <v>0</v>
      </c>
      <c r="O373" s="141"/>
      <c r="P373" s="141">
        <f>SUM(P363:P371)</f>
        <v>0</v>
      </c>
      <c r="Q373" s="141">
        <f>SUM(Q363:Q371)</f>
        <v>0</v>
      </c>
    </row>
    <row r="374" spans="1:17" x14ac:dyDescent="0.35">
      <c r="A374" s="75"/>
      <c r="B374" s="75"/>
      <c r="E374" s="104"/>
      <c r="F374" s="75"/>
      <c r="G374" s="105"/>
      <c r="H374" s="105"/>
      <c r="I374" s="109"/>
      <c r="J374" s="107"/>
      <c r="K374" s="109"/>
      <c r="L374" s="249"/>
    </row>
    <row r="375" spans="1:17" ht="13.15" x14ac:dyDescent="0.4">
      <c r="A375" s="84" t="s">
        <v>459</v>
      </c>
      <c r="B375" s="84"/>
      <c r="C375" s="70"/>
      <c r="D375" s="70"/>
      <c r="E375" s="94"/>
      <c r="F375" s="80"/>
      <c r="G375" s="154"/>
      <c r="H375" s="80"/>
      <c r="I375" s="80"/>
      <c r="J375" s="80"/>
      <c r="K375" s="168"/>
      <c r="L375" s="80"/>
    </row>
    <row r="376" spans="1:17" ht="13.15" x14ac:dyDescent="0.4">
      <c r="A376" s="294"/>
      <c r="B376" s="97">
        <v>2</v>
      </c>
      <c r="C376" s="81">
        <v>1</v>
      </c>
      <c r="D376" s="81" t="s">
        <v>69</v>
      </c>
      <c r="E376" s="303" t="s">
        <v>460</v>
      </c>
      <c r="F376" s="96" t="str">
        <f>+Volumenes!D36</f>
        <v>CHA_SANT_2D</v>
      </c>
      <c r="G376" s="143">
        <f>VLOOKUP(F376,Volumenes!$D$20:$F$222,3,FALSE)</f>
        <v>87.715644906525085</v>
      </c>
      <c r="H376" s="304"/>
      <c r="I376" s="305">
        <f>6/60</f>
        <v>0.1</v>
      </c>
      <c r="J376" s="110">
        <f>+I376*(1+Tiempos!$C$17)</f>
        <v>0.10525000000000001</v>
      </c>
      <c r="K376" s="123">
        <f>+J376*G376</f>
        <v>9.2320716264117664</v>
      </c>
      <c r="L376" s="98">
        <f>+K376/Tiempos!$B$11</f>
        <v>2.0069720926982101E-2</v>
      </c>
      <c r="M376" s="238"/>
      <c r="N376" s="238"/>
      <c r="O376" s="261">
        <f>+K376/Tiempos!$B$12</f>
        <v>1.0034860463491051E-2</v>
      </c>
      <c r="P376" s="238"/>
      <c r="Q376" s="238"/>
    </row>
    <row r="377" spans="1:17" x14ac:dyDescent="0.35">
      <c r="A377" s="81"/>
      <c r="B377" s="81">
        <v>2</v>
      </c>
      <c r="C377" s="83">
        <v>1</v>
      </c>
      <c r="D377" s="83" t="s">
        <v>69</v>
      </c>
      <c r="E377" s="99" t="s">
        <v>430</v>
      </c>
      <c r="F377" s="81" t="str">
        <f>+Volumenes!D37</f>
        <v>CHA_SANT_2D_AUT</v>
      </c>
      <c r="G377" s="143">
        <f>VLOOKUP(F377,Volumenes!$D$20:$F$222,3,FALSE)</f>
        <v>74.558298170546323</v>
      </c>
      <c r="H377" s="97"/>
      <c r="I377" s="98">
        <f>8/60</f>
        <v>0.13333333333333333</v>
      </c>
      <c r="J377" s="110">
        <f>+I377*(1+Tiempos!$C$17)</f>
        <v>0.14033333333333334</v>
      </c>
      <c r="K377" s="123">
        <f>+J377*G377</f>
        <v>10.463014509933334</v>
      </c>
      <c r="L377" s="98">
        <f>+K377/Tiempos!$B$11</f>
        <v>2.274568371724638E-2</v>
      </c>
      <c r="M377" s="261"/>
      <c r="N377" s="238"/>
      <c r="O377" s="261">
        <f>+K377/Tiempos!$B$12</f>
        <v>1.137284185862319E-2</v>
      </c>
      <c r="P377" s="238"/>
      <c r="Q377" s="238"/>
    </row>
    <row r="378" spans="1:17" x14ac:dyDescent="0.35">
      <c r="A378" s="81"/>
      <c r="B378" s="81">
        <v>2</v>
      </c>
      <c r="C378" s="83">
        <v>1</v>
      </c>
      <c r="D378" s="83" t="s">
        <v>69</v>
      </c>
      <c r="E378" s="99" t="s">
        <v>431</v>
      </c>
      <c r="F378" s="81" t="str">
        <f>+F377</f>
        <v>CHA_SANT_2D_AUT</v>
      </c>
      <c r="G378" s="143">
        <f>VLOOKUP(F378,Volumenes!$D$20:$F$222,3,FALSE)</f>
        <v>74.558298170546323</v>
      </c>
      <c r="H378" s="97"/>
      <c r="I378" s="98">
        <f>12/60</f>
        <v>0.2</v>
      </c>
      <c r="J378" s="110">
        <f>+I378*(1+Tiempos!$C$17)</f>
        <v>0.21050000000000002</v>
      </c>
      <c r="K378" s="123">
        <f>+J378*G378</f>
        <v>15.694521764900003</v>
      </c>
      <c r="L378" s="98">
        <f>+K378/Tiempos!$B$11</f>
        <v>3.4118525575869571E-2</v>
      </c>
      <c r="M378" s="261"/>
      <c r="N378" s="238"/>
      <c r="O378" s="261">
        <f>+K378/Tiempos!$B$12</f>
        <v>1.7059262787934786E-2</v>
      </c>
      <c r="P378" s="238"/>
      <c r="Q378" s="238"/>
    </row>
    <row r="379" spans="1:17" x14ac:dyDescent="0.35">
      <c r="A379" s="81"/>
      <c r="B379" s="81">
        <v>2</v>
      </c>
      <c r="C379" s="83">
        <v>1</v>
      </c>
      <c r="D379" s="83" t="s">
        <v>69</v>
      </c>
      <c r="E379" s="99" t="s">
        <v>256</v>
      </c>
      <c r="F379" s="81" t="str">
        <f>+F378</f>
        <v>CHA_SANT_2D_AUT</v>
      </c>
      <c r="G379" s="143">
        <f>VLOOKUP(F379,Volumenes!$D$20:$F$222,3,FALSE)</f>
        <v>74.558298170546323</v>
      </c>
      <c r="H379" s="97"/>
      <c r="I379" s="98">
        <f>20/60</f>
        <v>0.33333333333333331</v>
      </c>
      <c r="J379" s="110">
        <f>+I379*(1+Tiempos!$C$17)</f>
        <v>0.35083333333333333</v>
      </c>
      <c r="K379" s="123">
        <f>+J379*G379</f>
        <v>26.157536274833333</v>
      </c>
      <c r="L379" s="98">
        <f>+K379/Tiempos!$B$11</f>
        <v>5.686420929311594E-2</v>
      </c>
      <c r="M379" s="261"/>
      <c r="N379" s="238"/>
      <c r="O379" s="261">
        <f>+K379/Tiempos!$B$12</f>
        <v>2.843210464655797E-2</v>
      </c>
      <c r="P379" s="238"/>
      <c r="Q379" s="238"/>
    </row>
    <row r="380" spans="1:17" x14ac:dyDescent="0.35">
      <c r="A380" s="92"/>
      <c r="B380" s="92">
        <v>2</v>
      </c>
      <c r="C380" s="100">
        <v>1</v>
      </c>
      <c r="D380" s="100" t="s">
        <v>69</v>
      </c>
      <c r="E380" s="101" t="s">
        <v>178</v>
      </c>
      <c r="F380" s="92" t="str">
        <f>+F379</f>
        <v>CHA_SANT_2D_AUT</v>
      </c>
      <c r="G380" s="144">
        <f>VLOOKUP(F380,Volumenes!$D$20:$F$222,3,FALSE)</f>
        <v>74.558298170546323</v>
      </c>
      <c r="H380" s="102">
        <f>+Tiempos!E59</f>
        <v>25</v>
      </c>
      <c r="I380" s="103">
        <f>+Tiempos!F59</f>
        <v>0.21367521367521369</v>
      </c>
      <c r="J380" s="111">
        <f>+I380*(1+Tiempos!$C$17)</f>
        <v>0.2248931623931624</v>
      </c>
      <c r="K380" s="146">
        <f t="shared" ref="K380:K387" si="68">+J380*G380</f>
        <v>16.767651458226496</v>
      </c>
      <c r="L380" s="103">
        <f>+K380/Tiempos!$B$11</f>
        <v>3.6451416213535863E-2</v>
      </c>
      <c r="M380" s="262"/>
      <c r="N380" s="243"/>
      <c r="O380" s="262">
        <f>+K380/Tiempos!$B$12</f>
        <v>1.8225708106767931E-2</v>
      </c>
      <c r="P380" s="243"/>
      <c r="Q380" s="243"/>
    </row>
    <row r="381" spans="1:17" x14ac:dyDescent="0.35">
      <c r="A381" s="81"/>
      <c r="B381" s="81">
        <v>2</v>
      </c>
      <c r="C381" s="83">
        <v>1</v>
      </c>
      <c r="D381" s="83" t="s">
        <v>69</v>
      </c>
      <c r="E381" s="99" t="s">
        <v>257</v>
      </c>
      <c r="F381" s="81" t="str">
        <f>+F379</f>
        <v>CHA_SANT_2D_AUT</v>
      </c>
      <c r="G381" s="143">
        <f>VLOOKUP(F381,Volumenes!$D$20:$F$222,3,FALSE)</f>
        <v>74.558298170546323</v>
      </c>
      <c r="H381" s="97"/>
      <c r="I381" s="98">
        <f>20/60</f>
        <v>0.33333333333333331</v>
      </c>
      <c r="J381" s="110">
        <f>+I381*(1+Tiempos!$C$17)</f>
        <v>0.35083333333333333</v>
      </c>
      <c r="K381" s="123">
        <f t="shared" si="68"/>
        <v>26.157536274833333</v>
      </c>
      <c r="L381" s="98">
        <f>+K381/Tiempos!$B$11</f>
        <v>5.686420929311594E-2</v>
      </c>
      <c r="M381" s="261"/>
      <c r="N381" s="238"/>
      <c r="O381" s="261">
        <f>+K381/Tiempos!$B$12</f>
        <v>2.843210464655797E-2</v>
      </c>
      <c r="P381" s="238"/>
      <c r="Q381" s="238"/>
    </row>
    <row r="382" spans="1:17" x14ac:dyDescent="0.35">
      <c r="A382" s="81"/>
      <c r="B382" s="81">
        <v>2</v>
      </c>
      <c r="C382" s="83">
        <v>1</v>
      </c>
      <c r="D382" s="83" t="s">
        <v>69</v>
      </c>
      <c r="E382" s="99" t="s">
        <v>429</v>
      </c>
      <c r="F382" s="81" t="str">
        <f>+F381</f>
        <v>CHA_SANT_2D_AUT</v>
      </c>
      <c r="G382" s="143">
        <f>VLOOKUP(F382,Volumenes!$D$20:$F$222,3,FALSE)</f>
        <v>74.558298170546323</v>
      </c>
      <c r="H382" s="97"/>
      <c r="I382" s="98">
        <f>7/60</f>
        <v>0.11666666666666667</v>
      </c>
      <c r="J382" s="110">
        <f>+I382*(1+Tiempos!$C$17)</f>
        <v>0.12279166666666667</v>
      </c>
      <c r="K382" s="123">
        <f t="shared" si="68"/>
        <v>9.1551376961916677</v>
      </c>
      <c r="L382" s="98">
        <f>+K382/Tiempos!$B$11</f>
        <v>1.9902473252590581E-2</v>
      </c>
      <c r="M382" s="261"/>
      <c r="N382" s="246"/>
      <c r="O382" s="261">
        <f>+K382/Tiempos!$B$12</f>
        <v>9.9512366262952904E-3</v>
      </c>
      <c r="P382" s="246"/>
      <c r="Q382" s="246"/>
    </row>
    <row r="383" spans="1:17" x14ac:dyDescent="0.35">
      <c r="A383" s="81"/>
      <c r="B383" s="81">
        <v>2</v>
      </c>
      <c r="C383" s="83">
        <v>1</v>
      </c>
      <c r="D383" s="83" t="s">
        <v>69</v>
      </c>
      <c r="E383" s="99" t="s">
        <v>432</v>
      </c>
      <c r="F383" s="81" t="str">
        <f>+F382</f>
        <v>CHA_SANT_2D_AUT</v>
      </c>
      <c r="G383" s="143">
        <f>VLOOKUP(F383,Volumenes!$D$20:$F$222,3,FALSE)</f>
        <v>74.558298170546323</v>
      </c>
      <c r="H383" s="97"/>
      <c r="I383" s="98">
        <f>15/60</f>
        <v>0.25</v>
      </c>
      <c r="J383" s="110">
        <f>+I383*(1+Tiempos!$C$17)</f>
        <v>0.263125</v>
      </c>
      <c r="K383" s="123">
        <f t="shared" ref="K383:K384" si="69">+J383*G383</f>
        <v>19.618152206125</v>
      </c>
      <c r="L383" s="98">
        <f>+K383/Tiempos!$B$11</f>
        <v>4.2648156969836953E-2</v>
      </c>
      <c r="M383" s="261"/>
      <c r="N383" s="246"/>
      <c r="O383" s="261">
        <f>+K383/Tiempos!$B$12</f>
        <v>2.1324078484918477E-2</v>
      </c>
      <c r="P383" s="246"/>
      <c r="Q383" s="246"/>
    </row>
    <row r="384" spans="1:17" x14ac:dyDescent="0.35">
      <c r="A384" s="81"/>
      <c r="B384" s="81">
        <v>2</v>
      </c>
      <c r="C384" s="83">
        <v>1</v>
      </c>
      <c r="D384" s="83" t="s">
        <v>69</v>
      </c>
      <c r="E384" s="99" t="s">
        <v>433</v>
      </c>
      <c r="F384" s="81" t="str">
        <f>+F383</f>
        <v>CHA_SANT_2D_AUT</v>
      </c>
      <c r="G384" s="143">
        <f>VLOOKUP(F384,Volumenes!$D$20:$F$222,3,FALSE)</f>
        <v>74.558298170546323</v>
      </c>
      <c r="H384" s="97"/>
      <c r="I384" s="98">
        <f>18/60</f>
        <v>0.3</v>
      </c>
      <c r="J384" s="110">
        <f>+I384*(1+Tiempos!$C$17)</f>
        <v>0.31574999999999998</v>
      </c>
      <c r="K384" s="123">
        <f t="shared" si="69"/>
        <v>23.541782647350001</v>
      </c>
      <c r="L384" s="98">
        <f>+K384/Tiempos!$B$11</f>
        <v>5.117778836380435E-2</v>
      </c>
      <c r="M384" s="261"/>
      <c r="N384" s="246"/>
      <c r="O384" s="261">
        <f>+K384/Tiempos!$B$12</f>
        <v>2.5588894181902175E-2</v>
      </c>
      <c r="P384" s="246"/>
      <c r="Q384" s="246"/>
    </row>
    <row r="385" spans="1:17" x14ac:dyDescent="0.35">
      <c r="A385" s="81"/>
      <c r="B385" s="81">
        <v>2</v>
      </c>
      <c r="C385" s="83">
        <v>1</v>
      </c>
      <c r="D385" s="83" t="s">
        <v>69</v>
      </c>
      <c r="E385" s="99" t="s">
        <v>434</v>
      </c>
      <c r="F385" s="81" t="str">
        <f>+F384</f>
        <v>CHA_SANT_2D_AUT</v>
      </c>
      <c r="G385" s="143">
        <f>VLOOKUP(F385,Volumenes!$D$20:$F$222,3,FALSE)</f>
        <v>74.558298170546323</v>
      </c>
      <c r="H385" s="97"/>
      <c r="I385" s="98">
        <f>20/60</f>
        <v>0.33333333333333331</v>
      </c>
      <c r="J385" s="110">
        <f>+I385*(1+Tiempos!$C$17)</f>
        <v>0.35083333333333333</v>
      </c>
      <c r="K385" s="123">
        <f t="shared" ref="K385" si="70">+J385*G385</f>
        <v>26.157536274833333</v>
      </c>
      <c r="L385" s="98">
        <f>+K385/Tiempos!$B$11</f>
        <v>5.686420929311594E-2</v>
      </c>
      <c r="M385" s="261"/>
      <c r="N385" s="246"/>
      <c r="O385" s="261">
        <f>+K385/Tiempos!$B$12</f>
        <v>2.843210464655797E-2</v>
      </c>
      <c r="P385" s="246"/>
      <c r="Q385" s="246"/>
    </row>
    <row r="386" spans="1:17" x14ac:dyDescent="0.35">
      <c r="A386" s="92"/>
      <c r="B386" s="92">
        <v>2</v>
      </c>
      <c r="C386" s="100">
        <v>1</v>
      </c>
      <c r="D386" s="100" t="s">
        <v>69</v>
      </c>
      <c r="E386" s="101" t="s">
        <v>179</v>
      </c>
      <c r="F386" s="92" t="str">
        <f>+F385</f>
        <v>CHA_SANT_2D_AUT</v>
      </c>
      <c r="G386" s="144">
        <f>VLOOKUP(F386,Volumenes!$D$20:$F$222,3,FALSE)</f>
        <v>74.558298170546323</v>
      </c>
      <c r="H386" s="102">
        <f>+H380</f>
        <v>25</v>
      </c>
      <c r="I386" s="103">
        <f>+I380</f>
        <v>0.21367521367521369</v>
      </c>
      <c r="J386" s="111">
        <f>+I386*(1+Tiempos!$C$17)</f>
        <v>0.2248931623931624</v>
      </c>
      <c r="K386" s="146">
        <f t="shared" si="68"/>
        <v>16.767651458226496</v>
      </c>
      <c r="L386" s="103">
        <f>+K386/Tiempos!$B$11</f>
        <v>3.6451416213535863E-2</v>
      </c>
      <c r="M386" s="262"/>
      <c r="N386" s="247"/>
      <c r="O386" s="262">
        <f>+K386/Tiempos!$B$12</f>
        <v>1.8225708106767931E-2</v>
      </c>
      <c r="P386" s="247"/>
      <c r="Q386" s="247"/>
    </row>
    <row r="387" spans="1:17" x14ac:dyDescent="0.35">
      <c r="A387" s="81"/>
      <c r="B387" s="81">
        <v>2</v>
      </c>
      <c r="C387" s="83">
        <v>1</v>
      </c>
      <c r="D387" s="83" t="s">
        <v>69</v>
      </c>
      <c r="E387" s="99" t="s">
        <v>461</v>
      </c>
      <c r="F387" s="81" t="str">
        <f>+Volumenes!D39</f>
        <v>CHA_SANT_2D_EST</v>
      </c>
      <c r="G387" s="143">
        <f>VLOOKUP(F387,Volumenes!$D$20:$F$222,3,FALSE)</f>
        <v>13.157346735978763</v>
      </c>
      <c r="H387" s="97"/>
      <c r="I387" s="98">
        <f>5/60</f>
        <v>8.3333333333333329E-2</v>
      </c>
      <c r="J387" s="110">
        <f>+I387*(1+Tiempos!$C$17)</f>
        <v>8.7708333333333333E-2</v>
      </c>
      <c r="K387" s="123">
        <f t="shared" si="68"/>
        <v>1.1540089533014706</v>
      </c>
      <c r="L387" s="98">
        <f>+K387/Tiempos!$B$11</f>
        <v>2.5087151158727622E-3</v>
      </c>
      <c r="M387" s="261"/>
      <c r="N387" s="246"/>
      <c r="O387" s="261">
        <f>+K387/Tiempos!$B$12</f>
        <v>1.2543575579363811E-3</v>
      </c>
      <c r="P387" s="246"/>
      <c r="Q387" s="246"/>
    </row>
    <row r="388" spans="1:17" x14ac:dyDescent="0.35">
      <c r="A388" s="92"/>
      <c r="B388" s="92">
        <v>2</v>
      </c>
      <c r="C388" s="100">
        <v>1</v>
      </c>
      <c r="D388" s="100" t="s">
        <v>69</v>
      </c>
      <c r="E388" s="101" t="s">
        <v>462</v>
      </c>
      <c r="F388" s="92" t="str">
        <f>+F387</f>
        <v>CHA_SANT_2D_EST</v>
      </c>
      <c r="G388" s="144">
        <f>VLOOKUP(F388,Volumenes!$D$20:$F$222,3,FALSE)</f>
        <v>13.157346735978763</v>
      </c>
      <c r="H388" s="102">
        <f>VLOOKUP(E388,Tiempos!$B$42:$E$154,4)</f>
        <v>10</v>
      </c>
      <c r="I388" s="103">
        <f>VLOOKUP(F388,Tiempos!$D$42:$F$138,3)</f>
        <v>3.3967391304347827</v>
      </c>
      <c r="J388" s="111">
        <f>+I388*(1+Tiempos!$C$17)</f>
        <v>3.5750679347826089</v>
      </c>
      <c r="K388" s="146">
        <f>+J388*G388</f>
        <v>47.038408422614296</v>
      </c>
      <c r="L388" s="103">
        <f>+K388/Tiempos!$B$11</f>
        <v>0.1022574096143789</v>
      </c>
      <c r="M388" s="262"/>
      <c r="N388" s="247"/>
      <c r="O388" s="262">
        <f>+K388/Tiempos!$B$12</f>
        <v>5.1128704807189451E-2</v>
      </c>
      <c r="P388" s="247"/>
      <c r="Q388" s="247"/>
    </row>
    <row r="389" spans="1:17" x14ac:dyDescent="0.35">
      <c r="A389" s="81"/>
      <c r="B389" s="81">
        <v>2</v>
      </c>
      <c r="C389" s="83">
        <v>1</v>
      </c>
      <c r="D389" s="83" t="s">
        <v>69</v>
      </c>
      <c r="E389" s="99" t="s">
        <v>463</v>
      </c>
      <c r="F389" s="81" t="str">
        <f>+F388</f>
        <v>CHA_SANT_2D_EST</v>
      </c>
      <c r="G389" s="143">
        <f>VLOOKUP(F389,Volumenes!$D$20:$F$222,3,FALSE)</f>
        <v>13.157346735978763</v>
      </c>
      <c r="H389" s="97"/>
      <c r="I389" s="98">
        <f>35/60</f>
        <v>0.58333333333333337</v>
      </c>
      <c r="J389" s="110">
        <f>+I389*(1+Tiempos!$C$17)</f>
        <v>0.61395833333333338</v>
      </c>
      <c r="K389" s="123">
        <f t="shared" ref="K389" si="71">+J389*G389</f>
        <v>8.0780626731102956</v>
      </c>
      <c r="L389" s="98">
        <f>+K389/Tiempos!$B$11</f>
        <v>1.7561005811109337E-2</v>
      </c>
      <c r="M389" s="261"/>
      <c r="N389" s="246"/>
      <c r="O389" s="261">
        <f>+K389/Tiempos!$B$12</f>
        <v>8.7805029055546685E-3</v>
      </c>
      <c r="P389" s="246"/>
      <c r="Q389" s="246"/>
    </row>
    <row r="390" spans="1:17" x14ac:dyDescent="0.35">
      <c r="A390" s="92"/>
      <c r="B390" s="92">
        <v>2</v>
      </c>
      <c r="C390" s="100">
        <v>1</v>
      </c>
      <c r="D390" s="100" t="s">
        <v>69</v>
      </c>
      <c r="E390" s="101" t="s">
        <v>464</v>
      </c>
      <c r="F390" s="92" t="str">
        <f>+F389</f>
        <v>CHA_SANT_2D_EST</v>
      </c>
      <c r="G390" s="144">
        <f>VLOOKUP(F390,Volumenes!$D$20:$F$222,3,FALSE)</f>
        <v>13.157346735978763</v>
      </c>
      <c r="H390" s="102">
        <f>+H388</f>
        <v>10</v>
      </c>
      <c r="I390" s="103">
        <f>VLOOKUP(F390,Tiempos!$D$42:$F$138,3)</f>
        <v>3.3967391304347827</v>
      </c>
      <c r="J390" s="111">
        <f>+I390*(1+Tiempos!$C$17)</f>
        <v>3.5750679347826089</v>
      </c>
      <c r="K390" s="146">
        <f t="shared" ref="K390:K392" si="72">+J390*G390</f>
        <v>47.038408422614296</v>
      </c>
      <c r="L390" s="103">
        <f>+K390/Tiempos!$B$11</f>
        <v>0.1022574096143789</v>
      </c>
      <c r="M390" s="262"/>
      <c r="N390" s="247"/>
      <c r="O390" s="262">
        <f>+K390/Tiempos!$B$12</f>
        <v>5.1128704807189451E-2</v>
      </c>
      <c r="P390" s="247"/>
      <c r="Q390" s="247"/>
    </row>
    <row r="391" spans="1:17" x14ac:dyDescent="0.35">
      <c r="A391" s="81"/>
      <c r="B391" s="81">
        <v>2</v>
      </c>
      <c r="C391" s="83">
        <v>1</v>
      </c>
      <c r="D391" s="83" t="s">
        <v>69</v>
      </c>
      <c r="E391" s="99" t="s">
        <v>257</v>
      </c>
      <c r="F391" s="81" t="str">
        <f>+F390</f>
        <v>CHA_SANT_2D_EST</v>
      </c>
      <c r="G391" s="143">
        <f>VLOOKUP(F391,Volumenes!$D$20:$F$222,3,FALSE)</f>
        <v>13.157346735978763</v>
      </c>
      <c r="H391" s="97"/>
      <c r="I391" s="98">
        <f>20/60</f>
        <v>0.33333333333333331</v>
      </c>
      <c r="J391" s="110">
        <f>+I391*(1+Tiempos!$C$17)</f>
        <v>0.35083333333333333</v>
      </c>
      <c r="K391" s="123">
        <f t="shared" si="72"/>
        <v>4.6160358132058823</v>
      </c>
      <c r="L391" s="98">
        <f>+K391/Tiempos!$B$11</f>
        <v>1.0034860463491049E-2</v>
      </c>
      <c r="M391" s="261"/>
      <c r="N391" s="246"/>
      <c r="O391" s="261">
        <f>+K391/Tiempos!$B$12</f>
        <v>5.0174302317455245E-3</v>
      </c>
      <c r="P391" s="246"/>
      <c r="Q391" s="246"/>
    </row>
    <row r="392" spans="1:17" x14ac:dyDescent="0.35">
      <c r="A392" s="81"/>
      <c r="B392" s="81">
        <v>2</v>
      </c>
      <c r="C392" s="83">
        <v>1</v>
      </c>
      <c r="D392" s="83" t="s">
        <v>69</v>
      </c>
      <c r="E392" s="99" t="s">
        <v>465</v>
      </c>
      <c r="F392" s="81" t="str">
        <f t="shared" ref="F392:F395" si="73">+F391</f>
        <v>CHA_SANT_2D_EST</v>
      </c>
      <c r="G392" s="143">
        <f>VLOOKUP(F392,Volumenes!$D$20:$F$222,3,FALSE)</f>
        <v>13.157346735978763</v>
      </c>
      <c r="H392" s="97"/>
      <c r="I392" s="98">
        <f>20/60</f>
        <v>0.33333333333333331</v>
      </c>
      <c r="J392" s="110">
        <f>+I392*(1+Tiempos!$C$17)</f>
        <v>0.35083333333333333</v>
      </c>
      <c r="K392" s="123">
        <f t="shared" si="72"/>
        <v>4.6160358132058823</v>
      </c>
      <c r="L392" s="98">
        <f>+K392/Tiempos!$B$11</f>
        <v>1.0034860463491049E-2</v>
      </c>
      <c r="M392" s="261"/>
      <c r="N392" s="246"/>
      <c r="O392" s="261">
        <f>+K392/Tiempos!$B$12</f>
        <v>5.0174302317455245E-3</v>
      </c>
      <c r="P392" s="246"/>
      <c r="Q392" s="246"/>
    </row>
    <row r="393" spans="1:17" x14ac:dyDescent="0.35">
      <c r="A393" s="92"/>
      <c r="B393" s="92">
        <v>2</v>
      </c>
      <c r="C393" s="100">
        <v>1</v>
      </c>
      <c r="D393" s="100" t="s">
        <v>69</v>
      </c>
      <c r="E393" s="101" t="s">
        <v>466</v>
      </c>
      <c r="F393" s="92" t="str">
        <f t="shared" si="73"/>
        <v>CHA_SANT_2D_EST</v>
      </c>
      <c r="G393" s="144">
        <f>VLOOKUP(F393,Volumenes!$D$20:$F$222,3,FALSE)</f>
        <v>13.157346735978763</v>
      </c>
      <c r="H393" s="102">
        <f>+H390</f>
        <v>10</v>
      </c>
      <c r="I393" s="103">
        <f>VLOOKUP(F393,Tiempos!$D$42:$F$138,3)</f>
        <v>3.3967391304347827</v>
      </c>
      <c r="J393" s="111">
        <f>+I393*(1+Tiempos!$C$17)</f>
        <v>3.5750679347826089</v>
      </c>
      <c r="K393" s="146">
        <f t="shared" ref="K393:K394" si="74">+J393*G393</f>
        <v>47.038408422614296</v>
      </c>
      <c r="L393" s="103">
        <f>+K393/Tiempos!$B$11</f>
        <v>0.1022574096143789</v>
      </c>
      <c r="M393" s="262"/>
      <c r="N393" s="247"/>
      <c r="O393" s="262">
        <f>+K393/Tiempos!$B$12</f>
        <v>5.1128704807189451E-2</v>
      </c>
      <c r="P393" s="247"/>
      <c r="Q393" s="247"/>
    </row>
    <row r="394" spans="1:17" x14ac:dyDescent="0.35">
      <c r="A394" s="81"/>
      <c r="B394" s="81">
        <v>2</v>
      </c>
      <c r="C394" s="83">
        <v>1</v>
      </c>
      <c r="D394" s="83" t="s">
        <v>69</v>
      </c>
      <c r="E394" s="99" t="s">
        <v>467</v>
      </c>
      <c r="F394" s="81" t="str">
        <f t="shared" si="73"/>
        <v>CHA_SANT_2D_EST</v>
      </c>
      <c r="G394" s="143">
        <f>VLOOKUP(F394,Volumenes!$D$20:$F$222,3,FALSE)</f>
        <v>13.157346735978763</v>
      </c>
      <c r="H394" s="97"/>
      <c r="I394" s="98">
        <f>35/60</f>
        <v>0.58333333333333337</v>
      </c>
      <c r="J394" s="110">
        <f>+I394*(1+Tiempos!$C$17)</f>
        <v>0.61395833333333338</v>
      </c>
      <c r="K394" s="123">
        <f t="shared" si="74"/>
        <v>8.0780626731102956</v>
      </c>
      <c r="L394" s="98">
        <f>+K394/Tiempos!$B$11</f>
        <v>1.7561005811109337E-2</v>
      </c>
      <c r="M394" s="261"/>
      <c r="N394" s="246"/>
      <c r="O394" s="261">
        <f>+K394/Tiempos!$B$12</f>
        <v>8.7805029055546685E-3</v>
      </c>
      <c r="P394" s="246"/>
      <c r="Q394" s="246"/>
    </row>
    <row r="395" spans="1:17" x14ac:dyDescent="0.35">
      <c r="A395" s="92"/>
      <c r="B395" s="92">
        <v>2</v>
      </c>
      <c r="C395" s="100">
        <v>1</v>
      </c>
      <c r="D395" s="100" t="s">
        <v>69</v>
      </c>
      <c r="E395" s="101" t="s">
        <v>468</v>
      </c>
      <c r="F395" s="92" t="str">
        <f t="shared" si="73"/>
        <v>CHA_SANT_2D_EST</v>
      </c>
      <c r="G395" s="144">
        <f>VLOOKUP(F395,Volumenes!$D$20:$F$222,3,FALSE)</f>
        <v>13.157346735978763</v>
      </c>
      <c r="H395" s="102">
        <f>+H393</f>
        <v>10</v>
      </c>
      <c r="I395" s="103">
        <f>VLOOKUP(F395,Tiempos!$D$42:$F$138,3)</f>
        <v>3.3967391304347827</v>
      </c>
      <c r="J395" s="111">
        <f>+I395*(1+Tiempos!$C$17)</f>
        <v>3.5750679347826089</v>
      </c>
      <c r="K395" s="146">
        <f t="shared" ref="K395" si="75">+J395*G395</f>
        <v>47.038408422614296</v>
      </c>
      <c r="L395" s="103">
        <f>+K395/Tiempos!$B$11</f>
        <v>0.1022574096143789</v>
      </c>
      <c r="M395" s="262"/>
      <c r="N395" s="247"/>
      <c r="O395" s="262">
        <f>+K395/Tiempos!$B$12</f>
        <v>5.1128704807189451E-2</v>
      </c>
      <c r="P395" s="247"/>
      <c r="Q395" s="247"/>
    </row>
    <row r="396" spans="1:17" x14ac:dyDescent="0.35">
      <c r="A396" s="75"/>
      <c r="B396" s="75"/>
      <c r="E396" s="200"/>
      <c r="F396" s="75"/>
      <c r="G396" s="152"/>
      <c r="H396" s="105"/>
      <c r="I396" s="109"/>
      <c r="J396" s="107"/>
      <c r="K396" s="162"/>
      <c r="L396" s="98">
        <f>SUM(L376:L395)</f>
        <v>0.90088789523533852</v>
      </c>
      <c r="M396" s="261"/>
      <c r="N396" s="246"/>
      <c r="O396" s="98">
        <f>SUM(O376:O395)</f>
        <v>0.45044394761766926</v>
      </c>
      <c r="P396" s="246"/>
      <c r="Q396" s="246"/>
    </row>
    <row r="397" spans="1:17" x14ac:dyDescent="0.35">
      <c r="A397" s="75"/>
      <c r="B397" s="75"/>
      <c r="E397" s="104"/>
      <c r="F397" s="75"/>
      <c r="G397" s="105"/>
      <c r="H397" s="105"/>
      <c r="I397" s="109"/>
      <c r="J397" s="107"/>
      <c r="K397" s="109"/>
      <c r="L397" s="249"/>
      <c r="M397" s="249"/>
      <c r="N397" s="249"/>
      <c r="O397" s="249"/>
      <c r="P397" s="249"/>
      <c r="Q397" s="249"/>
    </row>
    <row r="398" spans="1:17" ht="13.15" x14ac:dyDescent="0.4">
      <c r="A398" s="296" t="s">
        <v>713</v>
      </c>
      <c r="B398" s="213"/>
      <c r="E398" s="104"/>
      <c r="F398" s="75"/>
      <c r="G398" s="152"/>
      <c r="H398" s="105"/>
      <c r="I398" s="109"/>
      <c r="J398" s="107"/>
      <c r="K398" s="162"/>
      <c r="L398" s="109"/>
    </row>
    <row r="399" spans="1:17" x14ac:dyDescent="0.35">
      <c r="A399" s="81"/>
      <c r="B399" s="81">
        <v>2</v>
      </c>
      <c r="C399" s="83">
        <v>1</v>
      </c>
      <c r="D399" s="83" t="s">
        <v>69</v>
      </c>
      <c r="E399" s="99" t="s">
        <v>695</v>
      </c>
      <c r="F399" s="391" t="str">
        <f>+Volumenes!D197</f>
        <v>BUL_MAD_L1</v>
      </c>
      <c r="G399" s="143">
        <f>VLOOKUP(F399,Volumenes!$D$20:$F$222,3,FALSE)</f>
        <v>10.413333333333334</v>
      </c>
      <c r="H399" s="97"/>
      <c r="I399" s="98">
        <f>8/60</f>
        <v>0.13333333333333333</v>
      </c>
      <c r="J399" s="110">
        <f>+I399*(1+Tiempos!$C$17)</f>
        <v>0.14033333333333334</v>
      </c>
      <c r="K399" s="98">
        <f>+J399*G399</f>
        <v>1.4613377777777778</v>
      </c>
      <c r="L399" s="98">
        <f>+K399/Tiempos!$B$11</f>
        <v>3.1768212560386476E-3</v>
      </c>
      <c r="M399" s="261">
        <f>+K399/Tiempos!$B$12</f>
        <v>1.5884106280193238E-3</v>
      </c>
      <c r="N399" s="238"/>
      <c r="O399" s="238"/>
      <c r="P399" s="238"/>
      <c r="Q399" s="238"/>
    </row>
    <row r="400" spans="1:17" x14ac:dyDescent="0.35">
      <c r="A400" s="92"/>
      <c r="B400" s="92">
        <v>2</v>
      </c>
      <c r="C400" s="100">
        <v>1</v>
      </c>
      <c r="D400" s="100" t="s">
        <v>69</v>
      </c>
      <c r="E400" s="101" t="s">
        <v>707</v>
      </c>
      <c r="F400" s="393" t="str">
        <f t="shared" ref="F400:F405" si="76">+F399</f>
        <v>BUL_MAD_L1</v>
      </c>
      <c r="G400" s="144">
        <f>VLOOKUP(F400,Volumenes!$D$20:$F$222,3,FALSE)</f>
        <v>10.413333333333334</v>
      </c>
      <c r="H400" s="102">
        <f>VLOOKUP(F400,Tiempos!$D$42:$F$131,2,FALSE)</f>
        <v>405</v>
      </c>
      <c r="I400" s="103">
        <f>VLOOKUP(F400,Tiempos!$D$42:$F$117,3,FALSE)</f>
        <v>3.4615384615384617</v>
      </c>
      <c r="J400" s="111">
        <f>+I400*(1+Tiempos!$C$17)</f>
        <v>3.6432692307692309</v>
      </c>
      <c r="K400" s="146">
        <f t="shared" ref="K400:K405" si="77">+J400*G400</f>
        <v>37.93857692307693</v>
      </c>
      <c r="L400" s="103">
        <f>+K400/Tiempos!$B$11</f>
        <v>8.2475167224080284E-2</v>
      </c>
      <c r="M400" s="262">
        <f>+K400/Tiempos!B12</f>
        <v>4.1237583612040142E-2</v>
      </c>
      <c r="N400" s="243"/>
      <c r="O400" s="243"/>
      <c r="P400" s="243"/>
      <c r="Q400" s="243"/>
    </row>
    <row r="401" spans="1:17" x14ac:dyDescent="0.35">
      <c r="A401" s="81"/>
      <c r="B401" s="81">
        <v>2</v>
      </c>
      <c r="C401" s="83">
        <v>1</v>
      </c>
      <c r="D401" s="83" t="s">
        <v>69</v>
      </c>
      <c r="E401" s="99" t="s">
        <v>708</v>
      </c>
      <c r="F401" s="391" t="str">
        <f t="shared" si="76"/>
        <v>BUL_MAD_L1</v>
      </c>
      <c r="G401" s="143">
        <f>VLOOKUP(F401,Volumenes!$D$20:$F$222,3,FALSE)</f>
        <v>10.413333333333334</v>
      </c>
      <c r="H401" s="97"/>
      <c r="I401" s="98">
        <f>15/60</f>
        <v>0.25</v>
      </c>
      <c r="J401" s="110">
        <f>+I401*(1+Tiempos!$C$17)</f>
        <v>0.263125</v>
      </c>
      <c r="K401" s="98">
        <f t="shared" si="77"/>
        <v>2.7400083333333334</v>
      </c>
      <c r="L401" s="98">
        <f>+K401/Tiempos!$B$11</f>
        <v>5.9565398550724636E-3</v>
      </c>
      <c r="M401" s="261">
        <f>+K401/Tiempos!$B$12</f>
        <v>2.9782699275362318E-3</v>
      </c>
      <c r="N401" s="238"/>
      <c r="O401" s="238"/>
      <c r="P401" s="238"/>
      <c r="Q401" s="238"/>
    </row>
    <row r="402" spans="1:17" x14ac:dyDescent="0.35">
      <c r="A402" s="81"/>
      <c r="B402" s="81">
        <v>2</v>
      </c>
      <c r="C402" s="83">
        <v>1</v>
      </c>
      <c r="D402" s="83" t="s">
        <v>69</v>
      </c>
      <c r="E402" s="99" t="s">
        <v>709</v>
      </c>
      <c r="F402" s="391" t="str">
        <f t="shared" si="76"/>
        <v>BUL_MAD_L1</v>
      </c>
      <c r="G402" s="143">
        <f>VLOOKUP(F402,Volumenes!$D$20:$F$222,3,FALSE)</f>
        <v>10.413333333333334</v>
      </c>
      <c r="H402" s="97"/>
      <c r="I402" s="98">
        <f>15/60</f>
        <v>0.25</v>
      </c>
      <c r="J402" s="110">
        <f>+I402*(1+Tiempos!$C$17)</f>
        <v>0.263125</v>
      </c>
      <c r="K402" s="98">
        <f t="shared" si="77"/>
        <v>2.7400083333333334</v>
      </c>
      <c r="L402" s="98">
        <f>+K402/Tiempos!$B$11</f>
        <v>5.9565398550724636E-3</v>
      </c>
      <c r="M402" s="261">
        <f>+K402/Tiempos!$B$12</f>
        <v>2.9782699275362318E-3</v>
      </c>
      <c r="N402" s="238"/>
      <c r="O402" s="238"/>
      <c r="P402" s="238"/>
      <c r="Q402" s="238"/>
    </row>
    <row r="403" spans="1:17" x14ac:dyDescent="0.35">
      <c r="A403" s="81"/>
      <c r="B403" s="81">
        <v>2</v>
      </c>
      <c r="C403" s="83">
        <v>1</v>
      </c>
      <c r="D403" s="83" t="s">
        <v>69</v>
      </c>
      <c r="E403" s="99" t="s">
        <v>710</v>
      </c>
      <c r="F403" s="391" t="str">
        <f t="shared" si="76"/>
        <v>BUL_MAD_L1</v>
      </c>
      <c r="G403" s="143">
        <f>VLOOKUP(F403,Volumenes!$D$20:$F$222,3,FALSE)</f>
        <v>10.413333333333334</v>
      </c>
      <c r="H403" s="97"/>
      <c r="I403" s="98">
        <f>15/60</f>
        <v>0.25</v>
      </c>
      <c r="J403" s="110">
        <f>+I403*(1+Tiempos!$C$17)</f>
        <v>0.263125</v>
      </c>
      <c r="K403" s="98">
        <f t="shared" si="77"/>
        <v>2.7400083333333334</v>
      </c>
      <c r="L403" s="98">
        <f>+K403/Tiempos!$B$11</f>
        <v>5.9565398550724636E-3</v>
      </c>
      <c r="M403" s="261">
        <f>+K403/Tiempos!$B$12</f>
        <v>2.9782699275362318E-3</v>
      </c>
      <c r="N403" s="238"/>
      <c r="O403" s="238"/>
      <c r="P403" s="238"/>
      <c r="Q403" s="238"/>
    </row>
    <row r="404" spans="1:17" x14ac:dyDescent="0.35">
      <c r="A404" s="81"/>
      <c r="B404" s="81">
        <v>2</v>
      </c>
      <c r="C404" s="83">
        <v>1</v>
      </c>
      <c r="D404" s="83" t="s">
        <v>69</v>
      </c>
      <c r="E404" s="99" t="s">
        <v>711</v>
      </c>
      <c r="F404" s="391" t="str">
        <f t="shared" si="76"/>
        <v>BUL_MAD_L1</v>
      </c>
      <c r="G404" s="143">
        <f>VLOOKUP(F404,Volumenes!$D$20:$F$222,3,FALSE)</f>
        <v>10.413333333333334</v>
      </c>
      <c r="H404" s="97"/>
      <c r="I404" s="98">
        <f>20/60</f>
        <v>0.33333333333333331</v>
      </c>
      <c r="J404" s="110">
        <f>+I404*(1+Tiempos!$C$17)</f>
        <v>0.35083333333333333</v>
      </c>
      <c r="K404" s="98">
        <f t="shared" si="77"/>
        <v>3.6533444444444445</v>
      </c>
      <c r="L404" s="98">
        <f>+K404/Tiempos!$B$11</f>
        <v>7.9420531400966193E-3</v>
      </c>
      <c r="M404" s="261">
        <f>+K404/Tiempos!$B$12</f>
        <v>3.9710265700483097E-3</v>
      </c>
      <c r="N404" s="238"/>
      <c r="O404" s="238"/>
      <c r="P404" s="238"/>
      <c r="Q404" s="238"/>
    </row>
    <row r="405" spans="1:17" x14ac:dyDescent="0.35">
      <c r="A405" s="81"/>
      <c r="B405" s="81">
        <v>2</v>
      </c>
      <c r="C405" s="83">
        <v>1</v>
      </c>
      <c r="D405" s="83" t="s">
        <v>69</v>
      </c>
      <c r="E405" s="99" t="s">
        <v>712</v>
      </c>
      <c r="F405" s="391" t="str">
        <f t="shared" si="76"/>
        <v>BUL_MAD_L1</v>
      </c>
      <c r="G405" s="143">
        <f>VLOOKUP(F405,Volumenes!$D$20:$F$222,3,FALSE)</f>
        <v>10.413333333333334</v>
      </c>
      <c r="H405" s="97"/>
      <c r="I405" s="98">
        <f>8/60</f>
        <v>0.13333333333333333</v>
      </c>
      <c r="J405" s="110">
        <f>+I405*(1+Tiempos!$C$17)</f>
        <v>0.14033333333333334</v>
      </c>
      <c r="K405" s="98">
        <f t="shared" si="77"/>
        <v>1.4613377777777778</v>
      </c>
      <c r="L405" s="98">
        <f>+K405/Tiempos!$B$11</f>
        <v>3.1768212560386476E-3</v>
      </c>
      <c r="M405" s="261">
        <f>+K405/Tiempos!$B$12</f>
        <v>1.5884106280193238E-3</v>
      </c>
      <c r="N405" s="238"/>
      <c r="O405" s="238"/>
      <c r="P405" s="238"/>
      <c r="Q405" s="238"/>
    </row>
    <row r="406" spans="1:17" x14ac:dyDescent="0.35">
      <c r="A406" s="75"/>
      <c r="B406" s="75"/>
      <c r="E406" s="104"/>
      <c r="F406" s="75"/>
      <c r="G406" s="152"/>
      <c r="H406" s="105"/>
      <c r="I406" s="109"/>
      <c r="J406" s="107"/>
      <c r="K406" s="162"/>
      <c r="L406" s="98">
        <f>SUM(L399:L405)</f>
        <v>0.1146404824414716</v>
      </c>
      <c r="M406" s="98">
        <f>SUM(M399:M405)</f>
        <v>5.7320241220735799E-2</v>
      </c>
      <c r="N406" s="98">
        <f>SUM(N399:N405)</f>
        <v>0</v>
      </c>
      <c r="O406" s="98"/>
      <c r="P406" s="98">
        <f>SUM(P399:P405)</f>
        <v>0</v>
      </c>
      <c r="Q406" s="98">
        <f>SUM(Q399:Q405)</f>
        <v>0</v>
      </c>
    </row>
    <row r="407" spans="1:17" x14ac:dyDescent="0.35">
      <c r="A407" s="75"/>
      <c r="B407" s="75"/>
      <c r="E407" s="104"/>
      <c r="F407" s="75"/>
      <c r="G407" s="152"/>
      <c r="H407" s="105"/>
      <c r="I407" s="109"/>
      <c r="J407" s="107"/>
      <c r="K407" s="162"/>
      <c r="L407" s="109"/>
      <c r="M407" s="109"/>
      <c r="N407" s="109"/>
      <c r="O407" s="109"/>
      <c r="P407" s="109"/>
      <c r="Q407" s="109"/>
    </row>
    <row r="408" spans="1:17" ht="13.15" x14ac:dyDescent="0.4">
      <c r="A408" s="296" t="s">
        <v>714</v>
      </c>
      <c r="B408" s="213"/>
      <c r="E408" s="104"/>
      <c r="F408" s="75"/>
      <c r="G408" s="152"/>
      <c r="H408" s="105"/>
      <c r="I408" s="109"/>
      <c r="J408" s="107"/>
      <c r="K408" s="162"/>
      <c r="L408" s="109"/>
    </row>
    <row r="409" spans="1:17" x14ac:dyDescent="0.35">
      <c r="A409" s="81"/>
      <c r="B409" s="81">
        <v>2</v>
      </c>
      <c r="C409" s="83">
        <v>1</v>
      </c>
      <c r="D409" s="83" t="s">
        <v>69</v>
      </c>
      <c r="E409" s="99" t="s">
        <v>695</v>
      </c>
      <c r="F409" s="391" t="str">
        <f>+Volumenes!D198</f>
        <v>BUL_MAD_L2/3</v>
      </c>
      <c r="G409" s="143">
        <f>VLOOKUP(F409,Volumenes!$D$20:$F$222,3,FALSE)</f>
        <v>6.246666666666667</v>
      </c>
      <c r="H409" s="97"/>
      <c r="I409" s="98">
        <f>8/60</f>
        <v>0.13333333333333333</v>
      </c>
      <c r="J409" s="110">
        <f>+I409*(1+Tiempos!$C$17)</f>
        <v>0.14033333333333334</v>
      </c>
      <c r="K409" s="123">
        <f t="shared" ref="K409:K415" si="78">+J409*G409</f>
        <v>0.87661555555555559</v>
      </c>
      <c r="L409" s="98">
        <f>+K409/Tiempos!$B$11</f>
        <v>1.9056859903381644E-3</v>
      </c>
      <c r="M409" s="261">
        <f>+K409/Tiempos!$B$12</f>
        <v>9.528429951690822E-4</v>
      </c>
      <c r="N409" s="238"/>
      <c r="O409" s="238"/>
      <c r="P409" s="238"/>
      <c r="Q409" s="238"/>
    </row>
    <row r="410" spans="1:17" x14ac:dyDescent="0.35">
      <c r="A410" s="92"/>
      <c r="B410" s="92">
        <v>2</v>
      </c>
      <c r="C410" s="100">
        <v>1</v>
      </c>
      <c r="D410" s="100" t="s">
        <v>69</v>
      </c>
      <c r="E410" s="101" t="s">
        <v>707</v>
      </c>
      <c r="F410" s="393" t="str">
        <f t="shared" ref="F410:F415" si="79">+F409</f>
        <v>BUL_MAD_L2/3</v>
      </c>
      <c r="G410" s="144">
        <f>VLOOKUP(F410,Volumenes!$D$20:$F$222,3,FALSE)</f>
        <v>6.246666666666667</v>
      </c>
      <c r="H410" s="102">
        <f>+H400</f>
        <v>405</v>
      </c>
      <c r="I410" s="103">
        <f>+I400</f>
        <v>3.4615384615384617</v>
      </c>
      <c r="J410" s="111">
        <f>+I410*(1+Tiempos!$C$17)</f>
        <v>3.6432692307692309</v>
      </c>
      <c r="K410" s="146">
        <f t="shared" si="78"/>
        <v>22.758288461538463</v>
      </c>
      <c r="L410" s="103">
        <f>+K410/Tiempos!$B$11</f>
        <v>4.947454013377927E-2</v>
      </c>
      <c r="M410" s="262">
        <f>+K410/Tiempos!$B$12</f>
        <v>2.4737270066889635E-2</v>
      </c>
      <c r="N410" s="243"/>
      <c r="O410" s="243"/>
      <c r="P410" s="243"/>
      <c r="Q410" s="243"/>
    </row>
    <row r="411" spans="1:17" x14ac:dyDescent="0.35">
      <c r="A411" s="81"/>
      <c r="B411" s="81">
        <v>2</v>
      </c>
      <c r="C411" s="83">
        <v>1</v>
      </c>
      <c r="D411" s="83" t="s">
        <v>69</v>
      </c>
      <c r="E411" s="99" t="s">
        <v>708</v>
      </c>
      <c r="F411" s="391" t="str">
        <f t="shared" si="79"/>
        <v>BUL_MAD_L2/3</v>
      </c>
      <c r="G411" s="143">
        <f>VLOOKUP(F411,Volumenes!$D$20:$F$222,3,FALSE)</f>
        <v>6.246666666666667</v>
      </c>
      <c r="H411" s="97"/>
      <c r="I411" s="98">
        <v>0.25</v>
      </c>
      <c r="J411" s="110">
        <f>+I411*(1+Tiempos!$C$17)</f>
        <v>0.263125</v>
      </c>
      <c r="K411" s="123">
        <f t="shared" si="78"/>
        <v>1.6436541666666669</v>
      </c>
      <c r="L411" s="98">
        <f>+K411/Tiempos!$B$11</f>
        <v>3.5731612318840584E-3</v>
      </c>
      <c r="M411" s="261">
        <f>+K411/Tiempos!$B$12</f>
        <v>1.7865806159420292E-3</v>
      </c>
      <c r="N411" s="238"/>
      <c r="O411" s="238"/>
      <c r="P411" s="238"/>
      <c r="Q411" s="238"/>
    </row>
    <row r="412" spans="1:17" x14ac:dyDescent="0.35">
      <c r="A412" s="81"/>
      <c r="B412" s="81">
        <v>2</v>
      </c>
      <c r="C412" s="83">
        <v>1</v>
      </c>
      <c r="D412" s="83" t="s">
        <v>69</v>
      </c>
      <c r="E412" s="99" t="s">
        <v>709</v>
      </c>
      <c r="F412" s="391" t="str">
        <f t="shared" si="79"/>
        <v>BUL_MAD_L2/3</v>
      </c>
      <c r="G412" s="143">
        <f>VLOOKUP(F412,Volumenes!$D$20:$F$222,3,FALSE)</f>
        <v>6.246666666666667</v>
      </c>
      <c r="H412" s="97"/>
      <c r="I412" s="98">
        <f>15/60</f>
        <v>0.25</v>
      </c>
      <c r="J412" s="110">
        <f>+I412*(1+Tiempos!$C$17)</f>
        <v>0.263125</v>
      </c>
      <c r="K412" s="123">
        <f t="shared" si="78"/>
        <v>1.6436541666666669</v>
      </c>
      <c r="L412" s="98">
        <f>+K412/Tiempos!$B$11</f>
        <v>3.5731612318840584E-3</v>
      </c>
      <c r="M412" s="261">
        <f>+K412/Tiempos!$B$12</f>
        <v>1.7865806159420292E-3</v>
      </c>
      <c r="N412" s="238"/>
      <c r="O412" s="238"/>
      <c r="P412" s="238"/>
      <c r="Q412" s="238"/>
    </row>
    <row r="413" spans="1:17" x14ac:dyDescent="0.35">
      <c r="A413" s="81"/>
      <c r="B413" s="81">
        <v>2</v>
      </c>
      <c r="C413" s="83">
        <v>1</v>
      </c>
      <c r="D413" s="83" t="s">
        <v>69</v>
      </c>
      <c r="E413" s="99" t="s">
        <v>710</v>
      </c>
      <c r="F413" s="391" t="str">
        <f t="shared" si="79"/>
        <v>BUL_MAD_L2/3</v>
      </c>
      <c r="G413" s="143">
        <f>VLOOKUP(F413,Volumenes!$D$20:$F$222,3,FALSE)</f>
        <v>6.246666666666667</v>
      </c>
      <c r="H413" s="97"/>
      <c r="I413" s="98">
        <f>15/60</f>
        <v>0.25</v>
      </c>
      <c r="J413" s="110">
        <f>+I413*(1+Tiempos!$C$17)</f>
        <v>0.263125</v>
      </c>
      <c r="K413" s="123">
        <f t="shared" si="78"/>
        <v>1.6436541666666669</v>
      </c>
      <c r="L413" s="98">
        <f>+K413/Tiempos!$B$11</f>
        <v>3.5731612318840584E-3</v>
      </c>
      <c r="M413" s="261">
        <f>+K413/Tiempos!$B$12</f>
        <v>1.7865806159420292E-3</v>
      </c>
      <c r="N413" s="238"/>
      <c r="O413" s="238"/>
      <c r="P413" s="238"/>
      <c r="Q413" s="238"/>
    </row>
    <row r="414" spans="1:17" x14ac:dyDescent="0.35">
      <c r="A414" s="81"/>
      <c r="B414" s="81">
        <v>2</v>
      </c>
      <c r="C414" s="83">
        <v>1</v>
      </c>
      <c r="D414" s="83" t="s">
        <v>69</v>
      </c>
      <c r="E414" s="99" t="s">
        <v>711</v>
      </c>
      <c r="F414" s="391" t="str">
        <f t="shared" si="79"/>
        <v>BUL_MAD_L2/3</v>
      </c>
      <c r="G414" s="143">
        <f>VLOOKUP(F414,Volumenes!$D$20:$F$222,3,FALSE)</f>
        <v>6.246666666666667</v>
      </c>
      <c r="H414" s="97"/>
      <c r="I414" s="98">
        <f>20/60</f>
        <v>0.33333333333333331</v>
      </c>
      <c r="J414" s="110">
        <f>+I414*(1+Tiempos!$C$17)</f>
        <v>0.35083333333333333</v>
      </c>
      <c r="K414" s="123">
        <f t="shared" si="78"/>
        <v>2.1915388888888891</v>
      </c>
      <c r="L414" s="98">
        <f>+K414/Tiempos!$B$11</f>
        <v>4.7642149758454115E-3</v>
      </c>
      <c r="M414" s="261">
        <f>+K414/Tiempos!$B$12</f>
        <v>2.3821074879227058E-3</v>
      </c>
      <c r="N414" s="238"/>
      <c r="O414" s="238"/>
      <c r="P414" s="238"/>
      <c r="Q414" s="238"/>
    </row>
    <row r="415" spans="1:17" x14ac:dyDescent="0.35">
      <c r="A415" s="81"/>
      <c r="B415" s="81">
        <v>2</v>
      </c>
      <c r="C415" s="83">
        <v>1</v>
      </c>
      <c r="D415" s="83" t="s">
        <v>69</v>
      </c>
      <c r="E415" s="99" t="s">
        <v>712</v>
      </c>
      <c r="F415" s="391" t="str">
        <f t="shared" si="79"/>
        <v>BUL_MAD_L2/3</v>
      </c>
      <c r="G415" s="143">
        <f>VLOOKUP(F415,Volumenes!$D$20:$F$222,3,FALSE)</f>
        <v>6.246666666666667</v>
      </c>
      <c r="H415" s="97"/>
      <c r="I415" s="98">
        <f>8/60</f>
        <v>0.13333333333333333</v>
      </c>
      <c r="J415" s="110">
        <f>+I415*(1+Tiempos!$C$17)</f>
        <v>0.14033333333333334</v>
      </c>
      <c r="K415" s="123">
        <f t="shared" si="78"/>
        <v>0.87661555555555559</v>
      </c>
      <c r="L415" s="98">
        <f>+K415/Tiempos!$B$11</f>
        <v>1.9056859903381644E-3</v>
      </c>
      <c r="M415" s="261">
        <f>+K415/Tiempos!$B$12</f>
        <v>9.528429951690822E-4</v>
      </c>
      <c r="N415" s="238"/>
      <c r="O415" s="238"/>
      <c r="P415" s="238"/>
      <c r="Q415" s="238"/>
    </row>
    <row r="416" spans="1:17" x14ac:dyDescent="0.35">
      <c r="A416" s="75"/>
      <c r="B416" s="75"/>
      <c r="E416" s="104"/>
      <c r="F416" s="75"/>
      <c r="G416" s="152"/>
      <c r="H416" s="105"/>
      <c r="I416" s="109"/>
      <c r="J416" s="107"/>
      <c r="K416" s="162"/>
      <c r="L416" s="98">
        <f>SUM(L409:L415)</f>
        <v>6.8769610785953186E-2</v>
      </c>
      <c r="M416" s="98">
        <f>SUM(M409:M415)</f>
        <v>3.4384805392976593E-2</v>
      </c>
      <c r="N416" s="98">
        <f>SUM(N409:N415)</f>
        <v>0</v>
      </c>
      <c r="O416" s="98"/>
      <c r="P416" s="98">
        <f>SUM(P409:P415)</f>
        <v>0</v>
      </c>
      <c r="Q416" s="98">
        <f>SUM(Q409:Q415)</f>
        <v>0</v>
      </c>
    </row>
    <row r="417" spans="1:17" x14ac:dyDescent="0.35">
      <c r="A417" s="75"/>
      <c r="B417" s="75"/>
      <c r="E417" s="104"/>
      <c r="F417" s="75"/>
      <c r="G417" s="152"/>
      <c r="H417" s="105"/>
      <c r="I417" s="109"/>
      <c r="J417" s="107"/>
      <c r="K417" s="162"/>
      <c r="L417" s="109"/>
      <c r="M417" s="109"/>
      <c r="N417" s="109"/>
      <c r="O417" s="109"/>
      <c r="P417" s="109"/>
      <c r="Q417" s="109"/>
    </row>
    <row r="418" spans="1:17" ht="13.15" x14ac:dyDescent="0.4">
      <c r="A418" s="296" t="s">
        <v>487</v>
      </c>
      <c r="B418" s="213"/>
      <c r="E418" s="104"/>
      <c r="F418" s="75"/>
      <c r="G418" s="152"/>
      <c r="H418" s="105"/>
      <c r="I418" s="109"/>
      <c r="J418" s="107"/>
      <c r="K418" s="162"/>
      <c r="L418" s="109"/>
    </row>
    <row r="419" spans="1:17" x14ac:dyDescent="0.35">
      <c r="A419" s="81"/>
      <c r="B419" s="81"/>
      <c r="C419" s="83">
        <v>1</v>
      </c>
      <c r="D419" s="83" t="s">
        <v>69</v>
      </c>
      <c r="E419" s="99" t="s">
        <v>715</v>
      </c>
      <c r="F419" s="391" t="str">
        <f>+Volumenes!D203</f>
        <v>ARM_BAJ</v>
      </c>
      <c r="G419" s="143">
        <f>VLOOKUP(F419,Volumenes!$D$20:$F$222,3,FALSE)</f>
        <v>8.3328000000000007</v>
      </c>
      <c r="H419" s="97"/>
      <c r="I419" s="98">
        <f>20/60</f>
        <v>0.33333333333333331</v>
      </c>
      <c r="J419" s="110">
        <f>+I419*(1+Tiempos!$C$17)</f>
        <v>0.35083333333333333</v>
      </c>
      <c r="K419" s="123">
        <f t="shared" ref="K419" si="80">+J419*G419</f>
        <v>2.9234240000000002</v>
      </c>
      <c r="L419" s="98">
        <f>+K419/Tiempos!$B$11</f>
        <v>6.3552695652173922E-3</v>
      </c>
      <c r="M419" s="261">
        <f>+K419/Tiempos!$B$12</f>
        <v>3.1776347826086961E-3</v>
      </c>
      <c r="N419" s="238"/>
      <c r="O419" s="238"/>
      <c r="P419" s="238"/>
      <c r="Q419" s="238"/>
    </row>
    <row r="420" spans="1:17" x14ac:dyDescent="0.35">
      <c r="A420" s="92"/>
      <c r="B420" s="92"/>
      <c r="C420" s="100">
        <v>1</v>
      </c>
      <c r="D420" s="100" t="s">
        <v>69</v>
      </c>
      <c r="E420" s="101" t="s">
        <v>716</v>
      </c>
      <c r="F420" s="393" t="str">
        <f t="shared" ref="F420:F422" si="81">+F419</f>
        <v>ARM_BAJ</v>
      </c>
      <c r="G420" s="144">
        <f>VLOOKUP(F420,Volumenes!$D$20:$F$222,3,FALSE)</f>
        <v>8.3328000000000007</v>
      </c>
      <c r="H420" s="102">
        <f>VLOOKUP(F420,Tiempos!$D$42:$F$131,2,FALSE)</f>
        <v>185</v>
      </c>
      <c r="I420" s="103">
        <f>VLOOKUP(F420,Tiempos!$D$42:$F$117,3,FALSE)</f>
        <v>1.5811965811965814</v>
      </c>
      <c r="J420" s="111">
        <f>+I420*(1+Tiempos!$C$17)</f>
        <v>1.6642094017094018</v>
      </c>
      <c r="K420" s="146">
        <f t="shared" ref="K420:K422" si="82">+J420*G420</f>
        <v>13.867524102564104</v>
      </c>
      <c r="L420" s="103">
        <f>+K420/Tiempos!$B$11</f>
        <v>3.0146791527313269E-2</v>
      </c>
      <c r="M420" s="262">
        <f>+K420/Tiempos!$B$12</f>
        <v>1.5073395763656634E-2</v>
      </c>
      <c r="N420" s="243"/>
      <c r="O420" s="243"/>
      <c r="P420" s="243"/>
      <c r="Q420" s="243"/>
    </row>
    <row r="421" spans="1:17" x14ac:dyDescent="0.35">
      <c r="A421" s="81"/>
      <c r="B421" s="81"/>
      <c r="C421" s="83">
        <v>1</v>
      </c>
      <c r="D421" s="83" t="s">
        <v>69</v>
      </c>
      <c r="E421" s="99" t="s">
        <v>717</v>
      </c>
      <c r="F421" s="391" t="str">
        <f t="shared" si="81"/>
        <v>ARM_BAJ</v>
      </c>
      <c r="G421" s="143">
        <f>VLOOKUP(F421,Volumenes!$D$20:$F$222,3,FALSE)</f>
        <v>8.3328000000000007</v>
      </c>
      <c r="H421" s="97"/>
      <c r="I421" s="98">
        <f>15/60</f>
        <v>0.25</v>
      </c>
      <c r="J421" s="110">
        <f>+I421*(1+Tiempos!$C$17)</f>
        <v>0.263125</v>
      </c>
      <c r="K421" s="123">
        <f t="shared" si="82"/>
        <v>2.1925680000000001</v>
      </c>
      <c r="L421" s="98">
        <f>+K421/Tiempos!$B$11</f>
        <v>4.7664521739130437E-3</v>
      </c>
      <c r="M421" s="261">
        <f>+K421/Tiempos!$B$12</f>
        <v>2.3832260869565219E-3</v>
      </c>
      <c r="N421" s="238"/>
      <c r="O421" s="238"/>
      <c r="P421" s="238"/>
      <c r="Q421" s="238"/>
    </row>
    <row r="422" spans="1:17" x14ac:dyDescent="0.35">
      <c r="A422" s="81"/>
      <c r="B422" s="81"/>
      <c r="C422" s="83">
        <v>1</v>
      </c>
      <c r="D422" s="83" t="s">
        <v>69</v>
      </c>
      <c r="E422" s="99" t="s">
        <v>738</v>
      </c>
      <c r="F422" s="391" t="str">
        <f t="shared" si="81"/>
        <v>ARM_BAJ</v>
      </c>
      <c r="G422" s="143">
        <f>VLOOKUP(F422,Volumenes!$D$20:$F$222,3,FALSE)</f>
        <v>8.3328000000000007</v>
      </c>
      <c r="H422" s="97"/>
      <c r="I422" s="98">
        <f>5/60</f>
        <v>8.3333333333333329E-2</v>
      </c>
      <c r="J422" s="110">
        <f>+I422*(1+Tiempos!$C$17)</f>
        <v>8.7708333333333333E-2</v>
      </c>
      <c r="K422" s="123">
        <f t="shared" si="82"/>
        <v>0.73085600000000006</v>
      </c>
      <c r="L422" s="98">
        <f>+K422/Tiempos!$B$11</f>
        <v>1.588817391304348E-3</v>
      </c>
      <c r="M422" s="261">
        <f>+K422/Tiempos!$B$12</f>
        <v>7.9440869565217402E-4</v>
      </c>
      <c r="N422" s="238"/>
      <c r="O422" s="238"/>
      <c r="P422" s="238"/>
      <c r="Q422" s="238"/>
    </row>
    <row r="423" spans="1:17" x14ac:dyDescent="0.35">
      <c r="A423" s="75"/>
      <c r="B423" s="75"/>
      <c r="E423" s="104"/>
      <c r="F423" s="75"/>
      <c r="G423" s="152"/>
      <c r="H423" s="105"/>
      <c r="I423" s="109"/>
      <c r="J423" s="107"/>
      <c r="K423" s="162"/>
      <c r="L423" s="98">
        <f>SUM(L419:L422)</f>
        <v>4.285733065774805E-2</v>
      </c>
      <c r="M423" s="98">
        <f>SUM(M419:M422)</f>
        <v>2.1428665328874025E-2</v>
      </c>
      <c r="N423" s="98">
        <f>SUM(N419:N422)</f>
        <v>0</v>
      </c>
      <c r="O423" s="98"/>
      <c r="P423" s="98">
        <f>SUM(P419:P422)</f>
        <v>0</v>
      </c>
      <c r="Q423" s="98">
        <f>SUM(Q419:Q422)</f>
        <v>0</v>
      </c>
    </row>
    <row r="424" spans="1:17" ht="13.5" x14ac:dyDescent="0.35">
      <c r="A424" s="414"/>
      <c r="B424" s="75"/>
      <c r="E424" s="104"/>
      <c r="F424" s="75"/>
      <c r="G424" s="105"/>
      <c r="H424" s="105"/>
      <c r="I424" s="106"/>
      <c r="K424" s="82"/>
      <c r="L424" s="195"/>
      <c r="M424" s="195"/>
      <c r="N424" s="195"/>
      <c r="O424" s="195"/>
      <c r="P424" s="195"/>
      <c r="Q424" s="195"/>
    </row>
    <row r="425" spans="1:17" ht="13.15" x14ac:dyDescent="0.4">
      <c r="A425" s="296" t="s">
        <v>744</v>
      </c>
      <c r="B425" s="213"/>
      <c r="E425" s="104"/>
      <c r="F425" s="75"/>
      <c r="G425" s="152"/>
      <c r="H425" s="105"/>
      <c r="I425" s="109"/>
      <c r="J425" s="107"/>
      <c r="K425" s="162"/>
      <c r="L425" s="109"/>
    </row>
    <row r="426" spans="1:17" x14ac:dyDescent="0.35">
      <c r="A426" s="81"/>
      <c r="B426" s="81"/>
      <c r="C426" s="83">
        <v>1</v>
      </c>
      <c r="D426" s="83" t="s">
        <v>69</v>
      </c>
      <c r="E426" s="99" t="s">
        <v>741</v>
      </c>
      <c r="F426" s="391" t="str">
        <f>+Volumenes!D204</f>
        <v>ARM_BAJ_MAQ</v>
      </c>
      <c r="G426" s="143">
        <f>VLOOKUP(F426,Volumenes!$D$20:$F$222,3,FALSE)</f>
        <v>17.360000000000003</v>
      </c>
      <c r="H426" s="97"/>
      <c r="I426" s="98">
        <f>15/60</f>
        <v>0.25</v>
      </c>
      <c r="J426" s="110">
        <f>+I426*(1+Tiempos!$C$17)</f>
        <v>0.263125</v>
      </c>
      <c r="K426" s="123">
        <f t="shared" ref="K426:K428" si="83">+J426*G426</f>
        <v>4.5678500000000009</v>
      </c>
      <c r="L426" s="98">
        <f>+K426/Tiempos!$B$11</f>
        <v>9.9301086956521765E-3</v>
      </c>
      <c r="M426" s="261">
        <f>+K426/Tiempos!$B$12</f>
        <v>4.9650543478260882E-3</v>
      </c>
      <c r="N426" s="238"/>
      <c r="O426" s="238"/>
      <c r="P426" s="238"/>
      <c r="Q426" s="238"/>
    </row>
    <row r="427" spans="1:17" x14ac:dyDescent="0.35">
      <c r="A427" s="92"/>
      <c r="B427" s="92"/>
      <c r="C427" s="100">
        <v>1</v>
      </c>
      <c r="D427" s="100" t="s">
        <v>69</v>
      </c>
      <c r="E427" s="101" t="s">
        <v>742</v>
      </c>
      <c r="F427" s="393" t="str">
        <f>+F426</f>
        <v>ARM_BAJ_MAQ</v>
      </c>
      <c r="G427" s="144">
        <f>VLOOKUP(F427,Volumenes!$D$20:$F$222,3,FALSE)</f>
        <v>17.360000000000003</v>
      </c>
      <c r="H427" s="102">
        <f>VLOOKUP(F427,Tiempos!$D$42:$F$131,2,FALSE)</f>
        <v>200</v>
      </c>
      <c r="I427" s="103">
        <f>VLOOKUP(F427,Tiempos!$D$42:$F$117,3,FALSE)</f>
        <v>1.7094017094017095</v>
      </c>
      <c r="J427" s="111">
        <f>+I427*(1+Tiempos!$C$17)</f>
        <v>1.7991452991452992</v>
      </c>
      <c r="K427" s="146">
        <f t="shared" si="83"/>
        <v>31.233162393162399</v>
      </c>
      <c r="L427" s="103">
        <f>+K427/Tiempos!$B$11</f>
        <v>6.7898179115570431E-2</v>
      </c>
      <c r="M427" s="262">
        <f>+K427/Tiempos!$B$12</f>
        <v>3.3949089557785216E-2</v>
      </c>
      <c r="N427" s="243"/>
      <c r="O427" s="243"/>
      <c r="P427" s="243"/>
      <c r="Q427" s="243"/>
    </row>
    <row r="428" spans="1:17" x14ac:dyDescent="0.35">
      <c r="A428" s="81"/>
      <c r="B428" s="81"/>
      <c r="C428" s="83">
        <v>1</v>
      </c>
      <c r="D428" s="83" t="s">
        <v>69</v>
      </c>
      <c r="E428" s="99" t="s">
        <v>743</v>
      </c>
      <c r="F428" s="391" t="str">
        <f>+F427</f>
        <v>ARM_BAJ_MAQ</v>
      </c>
      <c r="G428" s="143">
        <f>VLOOKUP(F428,Volumenes!$D$20:$F$222,3,FALSE)</f>
        <v>17.360000000000003</v>
      </c>
      <c r="H428" s="97"/>
      <c r="I428" s="98">
        <f>25/60</f>
        <v>0.41666666666666669</v>
      </c>
      <c r="J428" s="110">
        <f>+I428*(1+Tiempos!$C$17)</f>
        <v>0.43854166666666666</v>
      </c>
      <c r="K428" s="123">
        <f t="shared" si="83"/>
        <v>7.6130833333333348</v>
      </c>
      <c r="L428" s="98">
        <f>+K428/Tiempos!$B$11</f>
        <v>1.6550181159420294E-2</v>
      </c>
      <c r="M428" s="261">
        <f>+K428/Tiempos!$B$12</f>
        <v>8.2750905797101468E-3</v>
      </c>
      <c r="N428" s="238"/>
      <c r="O428" s="238"/>
      <c r="P428" s="238"/>
      <c r="Q428" s="238"/>
    </row>
    <row r="429" spans="1:17" x14ac:dyDescent="0.35">
      <c r="A429" s="75"/>
      <c r="B429" s="75"/>
      <c r="E429" s="104"/>
      <c r="F429" s="75"/>
      <c r="G429" s="152"/>
      <c r="H429" s="105"/>
      <c r="I429" s="109"/>
      <c r="J429" s="107"/>
      <c r="K429" s="162"/>
      <c r="L429" s="98">
        <f>SUM(L426:L428)</f>
        <v>9.4378468970642906E-2</v>
      </c>
      <c r="M429" s="98">
        <f>SUM(M426:M428)</f>
        <v>4.7189234485321453E-2</v>
      </c>
      <c r="N429" s="98">
        <f>SUM(N426:N428)</f>
        <v>0</v>
      </c>
      <c r="O429" s="98"/>
      <c r="P429" s="98">
        <f>SUM(P426:P428)</f>
        <v>0</v>
      </c>
      <c r="Q429" s="98">
        <f>SUM(Q426:Q428)</f>
        <v>0</v>
      </c>
    </row>
    <row r="430" spans="1:17" x14ac:dyDescent="0.35">
      <c r="A430" s="75"/>
      <c r="B430" s="75"/>
      <c r="E430" s="104"/>
      <c r="F430" s="75"/>
      <c r="G430" s="152"/>
      <c r="H430" s="105"/>
      <c r="I430" s="109"/>
      <c r="J430" s="107"/>
      <c r="K430" s="162"/>
      <c r="L430" s="109"/>
      <c r="M430" s="109"/>
      <c r="N430" s="109"/>
      <c r="O430" s="109"/>
      <c r="P430" s="109"/>
      <c r="Q430" s="109"/>
    </row>
    <row r="431" spans="1:17" ht="13.15" x14ac:dyDescent="0.4">
      <c r="A431" s="296" t="s">
        <v>745</v>
      </c>
      <c r="B431" s="213"/>
      <c r="E431" s="104"/>
      <c r="F431" s="75"/>
      <c r="G431" s="152"/>
      <c r="H431" s="105"/>
      <c r="I431" s="109"/>
      <c r="J431" s="107"/>
      <c r="K431" s="162"/>
      <c r="L431" s="109"/>
    </row>
    <row r="432" spans="1:17" x14ac:dyDescent="0.35">
      <c r="A432" s="81"/>
      <c r="B432" s="81">
        <v>2</v>
      </c>
      <c r="C432" s="83">
        <v>1</v>
      </c>
      <c r="D432" s="83" t="s">
        <v>69</v>
      </c>
      <c r="E432" s="99" t="s">
        <v>746</v>
      </c>
      <c r="F432" s="391" t="str">
        <f>+Volumenes!D204</f>
        <v>ARM_BAJ_MAQ</v>
      </c>
      <c r="G432" s="143">
        <f>VLOOKUP(F432,Volumenes!$D$20:$F$222,3,FALSE)</f>
        <v>17.360000000000003</v>
      </c>
      <c r="H432" s="97"/>
      <c r="I432" s="98">
        <f>10/60</f>
        <v>0.16666666666666666</v>
      </c>
      <c r="J432" s="110">
        <f>+I432*(1+Tiempos!$C$17)</f>
        <v>0.17541666666666667</v>
      </c>
      <c r="K432" s="123">
        <f t="shared" ref="K432:K436" si="84">+J432*G432</f>
        <v>3.0452333333333339</v>
      </c>
      <c r="L432" s="98">
        <f>+K432/Tiempos!$B$11</f>
        <v>6.6200724637681171E-3</v>
      </c>
      <c r="M432" s="261">
        <f>+K432/Tiempos!$B$12</f>
        <v>3.3100362318840585E-3</v>
      </c>
      <c r="N432" s="238"/>
      <c r="O432" s="238"/>
      <c r="P432" s="238"/>
      <c r="Q432" s="238"/>
    </row>
    <row r="433" spans="1:17" x14ac:dyDescent="0.35">
      <c r="A433" s="92"/>
      <c r="B433" s="92">
        <v>2</v>
      </c>
      <c r="C433" s="100">
        <v>1</v>
      </c>
      <c r="D433" s="100" t="s">
        <v>69</v>
      </c>
      <c r="E433" s="101" t="s">
        <v>747</v>
      </c>
      <c r="F433" s="393" t="str">
        <f>+F432</f>
        <v>ARM_BAJ_MAQ</v>
      </c>
      <c r="G433" s="144">
        <f>VLOOKUP(F433,Volumenes!$D$20:$F$222,3,FALSE)</f>
        <v>17.360000000000003</v>
      </c>
      <c r="H433" s="102">
        <v>140</v>
      </c>
      <c r="I433" s="103">
        <f>+(H433/Tiempos!B29)/60</f>
        <v>1.1965811965811965</v>
      </c>
      <c r="J433" s="111">
        <f>+I433*(1+Tiempos!$C$17)</f>
        <v>1.2594017094017094</v>
      </c>
      <c r="K433" s="146">
        <f t="shared" ref="K433" si="85">+J433*G433</f>
        <v>21.863213675213679</v>
      </c>
      <c r="L433" s="103">
        <f>+K433/Tiempos!$B$11</f>
        <v>4.7528725380899299E-2</v>
      </c>
      <c r="M433" s="262">
        <f>+K433/Tiempos!$B$12</f>
        <v>2.376436269044965E-2</v>
      </c>
      <c r="N433" s="243"/>
      <c r="O433" s="243"/>
      <c r="P433" s="243"/>
      <c r="Q433" s="243"/>
    </row>
    <row r="434" spans="1:17" x14ac:dyDescent="0.35">
      <c r="A434" s="81"/>
      <c r="B434" s="81">
        <v>2</v>
      </c>
      <c r="C434" s="83">
        <v>1</v>
      </c>
      <c r="D434" s="83" t="s">
        <v>69</v>
      </c>
      <c r="E434" s="99" t="s">
        <v>749</v>
      </c>
      <c r="F434" s="391" t="str">
        <f t="shared" ref="F434:F436" si="86">+F433</f>
        <v>ARM_BAJ_MAQ</v>
      </c>
      <c r="G434" s="143">
        <f>VLOOKUP(F434,Volumenes!$D$20:$F$222,3,FALSE)</f>
        <v>17.360000000000003</v>
      </c>
      <c r="H434" s="97"/>
      <c r="I434" s="98">
        <f>25/60</f>
        <v>0.41666666666666669</v>
      </c>
      <c r="J434" s="110">
        <f>+I434*(1+Tiempos!$C$17)</f>
        <v>0.43854166666666666</v>
      </c>
      <c r="K434" s="123">
        <f t="shared" ref="K434" si="87">+J434*G434</f>
        <v>7.6130833333333348</v>
      </c>
      <c r="L434" s="98">
        <f>+K434/Tiempos!$B$11</f>
        <v>1.6550181159420294E-2</v>
      </c>
      <c r="M434" s="261">
        <f>+K434/Tiempos!$B$12</f>
        <v>8.2750905797101468E-3</v>
      </c>
      <c r="N434" s="238"/>
      <c r="O434" s="238"/>
      <c r="P434" s="238"/>
      <c r="Q434" s="238"/>
    </row>
    <row r="435" spans="1:17" x14ac:dyDescent="0.35">
      <c r="A435" s="92"/>
      <c r="B435" s="92">
        <v>2</v>
      </c>
      <c r="C435" s="100">
        <v>1</v>
      </c>
      <c r="D435" s="100" t="s">
        <v>69</v>
      </c>
      <c r="E435" s="101" t="s">
        <v>748</v>
      </c>
      <c r="F435" s="393" t="str">
        <f>+F432</f>
        <v>ARM_BAJ_MAQ</v>
      </c>
      <c r="G435" s="144">
        <f>VLOOKUP(F435,Volumenes!$D$20:$F$222,3,FALSE)</f>
        <v>17.360000000000003</v>
      </c>
      <c r="H435" s="102">
        <f>VLOOKUP(F435,Tiempos!$D$42:$F$131,2,FALSE)</f>
        <v>200</v>
      </c>
      <c r="I435" s="103">
        <f>VLOOKUP(F435,Tiempos!$D$42:$F$117,3,FALSE)</f>
        <v>1.7094017094017095</v>
      </c>
      <c r="J435" s="111">
        <f>+I435*(1+Tiempos!$C$17)</f>
        <v>1.7991452991452992</v>
      </c>
      <c r="K435" s="146">
        <f t="shared" si="84"/>
        <v>31.233162393162399</v>
      </c>
      <c r="L435" s="103">
        <f>+K435/Tiempos!$B$11</f>
        <v>6.7898179115570431E-2</v>
      </c>
      <c r="M435" s="262">
        <f>+K435/Tiempos!$B$12</f>
        <v>3.3949089557785216E-2</v>
      </c>
      <c r="N435" s="243"/>
      <c r="O435" s="243"/>
      <c r="P435" s="243"/>
      <c r="Q435" s="243"/>
    </row>
    <row r="436" spans="1:17" x14ac:dyDescent="0.35">
      <c r="A436" s="81"/>
      <c r="B436" s="81">
        <v>2</v>
      </c>
      <c r="C436" s="83">
        <v>1</v>
      </c>
      <c r="D436" s="83" t="s">
        <v>69</v>
      </c>
      <c r="E436" s="99" t="s">
        <v>750</v>
      </c>
      <c r="F436" s="391" t="str">
        <f t="shared" si="86"/>
        <v>ARM_BAJ_MAQ</v>
      </c>
      <c r="G436" s="143">
        <f>VLOOKUP(F436,Volumenes!$D$20:$F$222,3,FALSE)</f>
        <v>17.360000000000003</v>
      </c>
      <c r="H436" s="97"/>
      <c r="I436" s="98">
        <f>15/60</f>
        <v>0.25</v>
      </c>
      <c r="J436" s="110">
        <f>+I436*(1+Tiempos!$C$17)</f>
        <v>0.263125</v>
      </c>
      <c r="K436" s="123">
        <f t="shared" si="84"/>
        <v>4.5678500000000009</v>
      </c>
      <c r="L436" s="98">
        <f>+K436/Tiempos!$B$11</f>
        <v>9.9301086956521765E-3</v>
      </c>
      <c r="M436" s="261">
        <f>+K436/Tiempos!$B$12</f>
        <v>4.9650543478260882E-3</v>
      </c>
      <c r="N436" s="238"/>
      <c r="O436" s="238"/>
      <c r="P436" s="238"/>
      <c r="Q436" s="238"/>
    </row>
    <row r="437" spans="1:17" x14ac:dyDescent="0.35">
      <c r="A437" s="75"/>
      <c r="B437" s="75"/>
      <c r="E437" s="104"/>
      <c r="F437" s="75"/>
      <c r="G437" s="152"/>
      <c r="H437" s="105"/>
      <c r="I437" s="109"/>
      <c r="J437" s="107"/>
      <c r="K437" s="162"/>
      <c r="L437" s="98">
        <f>SUM(L432:L436)</f>
        <v>0.14852726681531031</v>
      </c>
      <c r="M437" s="98">
        <f>SUM(M432:M436)</f>
        <v>7.4263633407655155E-2</v>
      </c>
      <c r="N437" s="98">
        <f>SUM(N432:N436)</f>
        <v>0</v>
      </c>
      <c r="O437" s="98"/>
      <c r="P437" s="98">
        <f>SUM(P432:P436)</f>
        <v>0</v>
      </c>
      <c r="Q437" s="98">
        <f>SUM(Q432:Q436)</f>
        <v>0</v>
      </c>
    </row>
    <row r="438" spans="1:17" x14ac:dyDescent="0.35">
      <c r="A438" s="75"/>
      <c r="B438" s="75"/>
      <c r="E438" s="104"/>
      <c r="F438" s="75"/>
      <c r="G438" s="152"/>
      <c r="H438" s="105"/>
      <c r="I438" s="109"/>
      <c r="J438" s="107"/>
      <c r="K438" s="162"/>
      <c r="L438" s="109"/>
      <c r="M438" s="109"/>
      <c r="N438" s="109"/>
      <c r="O438" s="109"/>
      <c r="P438" s="109"/>
      <c r="Q438" s="109"/>
    </row>
    <row r="439" spans="1:17" ht="17.649999999999999" x14ac:dyDescent="0.35">
      <c r="A439" s="79" t="s">
        <v>663</v>
      </c>
      <c r="B439" s="79"/>
      <c r="C439" s="70"/>
      <c r="D439" s="70"/>
      <c r="E439" s="94"/>
      <c r="F439" s="80"/>
      <c r="G439" s="80"/>
      <c r="H439" s="80"/>
      <c r="I439" s="80"/>
      <c r="J439" s="80"/>
      <c r="K439" s="80"/>
      <c r="L439" s="80"/>
    </row>
    <row r="440" spans="1:17" ht="13.15" x14ac:dyDescent="0.4">
      <c r="A440" s="84" t="s">
        <v>1076</v>
      </c>
      <c r="B440" s="84"/>
      <c r="C440" s="70"/>
      <c r="D440" s="70"/>
      <c r="E440" s="94"/>
      <c r="F440" s="80"/>
      <c r="G440" s="80"/>
      <c r="H440" s="80"/>
      <c r="I440" s="80"/>
      <c r="J440" s="80"/>
      <c r="K440" s="80"/>
      <c r="L440" s="80"/>
    </row>
    <row r="441" spans="1:17" x14ac:dyDescent="0.35">
      <c r="A441" s="81"/>
      <c r="B441" s="81">
        <v>2</v>
      </c>
      <c r="C441" s="83">
        <v>1</v>
      </c>
      <c r="D441" s="83" t="s">
        <v>333</v>
      </c>
      <c r="E441" s="99" t="s">
        <v>679</v>
      </c>
      <c r="F441" s="81" t="str">
        <f>+Volumenes!D161</f>
        <v>CAR_SUM_L1</v>
      </c>
      <c r="G441" s="180">
        <f>VLOOKUP(F441,Volumenes!$D$20:$F$184,3,FALSE)</f>
        <v>220</v>
      </c>
      <c r="H441" s="97"/>
      <c r="I441" s="98">
        <f>10/60</f>
        <v>0.16666666666666666</v>
      </c>
      <c r="J441" s="110">
        <f>+I441*(1+Tiempos!$C$17)</f>
        <v>0.17541666666666667</v>
      </c>
      <c r="K441" s="98">
        <f>+J441*G441</f>
        <v>38.591666666666669</v>
      </c>
      <c r="L441" s="98">
        <f>+K441/Tiempos!$B$11</f>
        <v>8.3894927536231886E-2</v>
      </c>
      <c r="M441" s="238"/>
      <c r="N441" s="238"/>
      <c r="O441" s="238"/>
      <c r="P441" s="238"/>
      <c r="Q441" s="261"/>
    </row>
    <row r="442" spans="1:17" x14ac:dyDescent="0.35">
      <c r="A442" s="81"/>
      <c r="B442" s="81">
        <v>2</v>
      </c>
      <c r="C442" s="83">
        <v>1</v>
      </c>
      <c r="D442" s="83" t="s">
        <v>333</v>
      </c>
      <c r="E442" s="99" t="s">
        <v>680</v>
      </c>
      <c r="F442" s="81" t="str">
        <f>+Volumenes!D152</f>
        <v>PIE_EROS_L1</v>
      </c>
      <c r="G442" s="180">
        <f>VLOOKUP(F442,Volumenes!$D$20:$F$184,3,FALSE)</f>
        <v>1540</v>
      </c>
      <c r="H442" s="97"/>
      <c r="I442" s="98">
        <f>10/60</f>
        <v>0.16666666666666666</v>
      </c>
      <c r="J442" s="110">
        <f>+I442*(1+Tiempos!$C$17)</f>
        <v>0.17541666666666667</v>
      </c>
      <c r="K442" s="98">
        <f t="shared" ref="K442:K443" si="88">+J442*G442</f>
        <v>270.14166666666665</v>
      </c>
      <c r="L442" s="98">
        <f>+K442/Tiempos!$B$11</f>
        <v>0.58726449275362314</v>
      </c>
      <c r="M442" s="238"/>
      <c r="N442" s="238"/>
      <c r="O442" s="238"/>
      <c r="P442" s="238"/>
      <c r="Q442" s="261"/>
    </row>
    <row r="443" spans="1:17" x14ac:dyDescent="0.35">
      <c r="A443" s="81"/>
      <c r="B443" s="81">
        <v>2</v>
      </c>
      <c r="C443" s="83">
        <v>1</v>
      </c>
      <c r="D443" s="83" t="s">
        <v>333</v>
      </c>
      <c r="E443" s="99" t="s">
        <v>681</v>
      </c>
      <c r="F443" s="81" t="str">
        <f>+F442</f>
        <v>PIE_EROS_L1</v>
      </c>
      <c r="G443" s="180">
        <f>VLOOKUP(F443,Volumenes!$D$20:$F$184,3,FALSE)</f>
        <v>1540</v>
      </c>
      <c r="H443" s="97"/>
      <c r="I443" s="98">
        <f>8/60</f>
        <v>0.13333333333333333</v>
      </c>
      <c r="J443" s="110">
        <f>+I443*(1+Tiempos!$C$17)</f>
        <v>0.14033333333333334</v>
      </c>
      <c r="K443" s="98">
        <f t="shared" si="88"/>
        <v>216.11333333333334</v>
      </c>
      <c r="L443" s="98">
        <f>+K443/Tiempos!$B$11</f>
        <v>0.46981159420289859</v>
      </c>
      <c r="M443" s="238"/>
      <c r="N443" s="238"/>
      <c r="O443" s="238"/>
      <c r="P443" s="238"/>
      <c r="Q443" s="261"/>
    </row>
    <row r="444" spans="1:17" x14ac:dyDescent="0.35">
      <c r="A444" s="81"/>
      <c r="B444" s="81">
        <v>2</v>
      </c>
      <c r="C444" s="83">
        <v>1</v>
      </c>
      <c r="D444" s="83" t="s">
        <v>333</v>
      </c>
      <c r="E444" s="99" t="s">
        <v>682</v>
      </c>
      <c r="F444" s="81" t="str">
        <f>+F443</f>
        <v>PIE_EROS_L1</v>
      </c>
      <c r="G444" s="180">
        <f>VLOOKUP(F444,Volumenes!$D$20:$F$184,3,FALSE)</f>
        <v>1540</v>
      </c>
      <c r="H444" s="97"/>
      <c r="I444" s="98">
        <f>10/60</f>
        <v>0.16666666666666666</v>
      </c>
      <c r="J444" s="110">
        <f>+I444*(1+Tiempos!$C$17)</f>
        <v>0.17541666666666667</v>
      </c>
      <c r="K444" s="98">
        <f>+J444*G444</f>
        <v>270.14166666666665</v>
      </c>
      <c r="L444" s="98">
        <f>+K444/Tiempos!$B$11</f>
        <v>0.58726449275362314</v>
      </c>
      <c r="M444" s="238"/>
      <c r="N444" s="238"/>
      <c r="O444" s="238"/>
      <c r="P444" s="238"/>
      <c r="Q444" s="261"/>
    </row>
    <row r="445" spans="1:17" x14ac:dyDescent="0.35">
      <c r="A445" s="81"/>
      <c r="B445" s="81">
        <v>2</v>
      </c>
      <c r="C445" s="83">
        <v>1</v>
      </c>
      <c r="D445" s="83" t="s">
        <v>46</v>
      </c>
      <c r="E445" s="99" t="s">
        <v>1077</v>
      </c>
      <c r="F445" s="81" t="str">
        <f>+F441</f>
        <v>CAR_SUM_L1</v>
      </c>
      <c r="G445" s="180">
        <f>VLOOKUP(F445,Volumenes!$D$20:$F$184,3,FALSE)</f>
        <v>220</v>
      </c>
      <c r="H445" s="97"/>
      <c r="I445" s="98">
        <f>12/60</f>
        <v>0.2</v>
      </c>
      <c r="J445" s="110">
        <f>+I445*(1+Tiempos!$C$17)</f>
        <v>0.21050000000000002</v>
      </c>
      <c r="K445" s="98">
        <f>+J445*G445</f>
        <v>46.31</v>
      </c>
      <c r="L445" s="98">
        <f>+K445/Tiempos!$B$11</f>
        <v>0.10067391304347827</v>
      </c>
      <c r="M445" s="238"/>
      <c r="N445" s="238"/>
      <c r="O445" s="238"/>
      <c r="P445" s="238"/>
      <c r="Q445" s="261"/>
    </row>
    <row r="446" spans="1:17" x14ac:dyDescent="0.35">
      <c r="A446" s="75"/>
      <c r="B446" s="75"/>
      <c r="E446" s="104"/>
      <c r="F446" s="75"/>
      <c r="G446" s="108"/>
      <c r="H446" s="105"/>
      <c r="I446" s="106"/>
      <c r="J446" s="107"/>
      <c r="K446" s="109"/>
      <c r="L446" s="98">
        <f>SUM(L441:L445)</f>
        <v>1.8289094202898548</v>
      </c>
      <c r="M446" s="141"/>
      <c r="N446" s="141"/>
      <c r="O446" s="141"/>
      <c r="P446" s="141"/>
      <c r="Q446" s="141"/>
    </row>
    <row r="447" spans="1:17" x14ac:dyDescent="0.35">
      <c r="A447" s="75"/>
      <c r="B447" s="75"/>
      <c r="E447" s="104"/>
      <c r="F447" s="75"/>
      <c r="G447" s="108"/>
      <c r="H447" s="105"/>
      <c r="I447" s="106"/>
      <c r="J447" s="107"/>
      <c r="K447" s="109"/>
      <c r="L447" s="109"/>
      <c r="M447" s="249"/>
      <c r="N447" s="249"/>
      <c r="O447" s="249"/>
      <c r="P447" s="249"/>
      <c r="Q447" s="249"/>
    </row>
    <row r="448" spans="1:17" ht="13.15" x14ac:dyDescent="0.4">
      <c r="A448" s="84" t="s">
        <v>1078</v>
      </c>
      <c r="B448" s="84"/>
      <c r="C448" s="70"/>
      <c r="D448" s="70"/>
      <c r="E448" s="94"/>
      <c r="F448" s="80"/>
      <c r="G448" s="80"/>
      <c r="H448" s="80"/>
      <c r="I448" s="80"/>
      <c r="J448" s="80"/>
      <c r="K448" s="80"/>
      <c r="L448" s="80"/>
    </row>
    <row r="449" spans="1:17" x14ac:dyDescent="0.35">
      <c r="A449" s="81"/>
      <c r="B449" s="81">
        <v>2</v>
      </c>
      <c r="C449" s="83">
        <v>1</v>
      </c>
      <c r="D449" s="83" t="s">
        <v>333</v>
      </c>
      <c r="E449" s="99" t="s">
        <v>679</v>
      </c>
      <c r="F449" s="81" t="str">
        <f>+Volumenes!D162</f>
        <v>CAR_SUM_L2</v>
      </c>
      <c r="G449" s="180">
        <f>VLOOKUP(F449,Volumenes!$D$20:$F$184,3,FALSE)</f>
        <v>72</v>
      </c>
      <c r="H449" s="97"/>
      <c r="I449" s="98">
        <f>10/60</f>
        <v>0.16666666666666666</v>
      </c>
      <c r="J449" s="110">
        <f>+I449*(1+Tiempos!$C$17)</f>
        <v>0.17541666666666667</v>
      </c>
      <c r="K449" s="98">
        <f>+J449*G449</f>
        <v>12.629999999999999</v>
      </c>
      <c r="L449" s="98">
        <f>+K449/Tiempos!$B$11</f>
        <v>2.7456521739130432E-2</v>
      </c>
      <c r="M449" s="238"/>
      <c r="N449" s="238"/>
      <c r="O449" s="238"/>
      <c r="P449" s="238"/>
      <c r="Q449" s="261"/>
    </row>
    <row r="450" spans="1:17" x14ac:dyDescent="0.35">
      <c r="A450" s="81"/>
      <c r="B450" s="81">
        <v>2</v>
      </c>
      <c r="C450" s="83">
        <v>1</v>
      </c>
      <c r="D450" s="83" t="s">
        <v>333</v>
      </c>
      <c r="E450" s="99" t="s">
        <v>680</v>
      </c>
      <c r="F450" s="81" t="str">
        <f>+Volumenes!D153</f>
        <v>PIE_EROS_L2</v>
      </c>
      <c r="G450" s="180">
        <f>VLOOKUP(F450,Volumenes!$D$20:$F$184,3,FALSE)</f>
        <v>648</v>
      </c>
      <c r="H450" s="97"/>
      <c r="I450" s="98">
        <f>10/60</f>
        <v>0.16666666666666666</v>
      </c>
      <c r="J450" s="110">
        <f>+I450*(1+Tiempos!$C$17)</f>
        <v>0.17541666666666667</v>
      </c>
      <c r="K450" s="98">
        <f t="shared" ref="K450:K451" si="89">+J450*G450</f>
        <v>113.67</v>
      </c>
      <c r="L450" s="98">
        <f>+K450/Tiempos!$B$11</f>
        <v>0.24710869565217392</v>
      </c>
      <c r="M450" s="238"/>
      <c r="N450" s="238"/>
      <c r="O450" s="238"/>
      <c r="P450" s="238"/>
      <c r="Q450" s="261"/>
    </row>
    <row r="451" spans="1:17" x14ac:dyDescent="0.35">
      <c r="A451" s="81"/>
      <c r="B451" s="81">
        <v>2</v>
      </c>
      <c r="C451" s="83">
        <v>1</v>
      </c>
      <c r="D451" s="83" t="s">
        <v>333</v>
      </c>
      <c r="E451" s="99" t="s">
        <v>681</v>
      </c>
      <c r="F451" s="81" t="str">
        <f>+F450</f>
        <v>PIE_EROS_L2</v>
      </c>
      <c r="G451" s="180">
        <f>VLOOKUP(F451,Volumenes!$D$20:$F$184,3,FALSE)</f>
        <v>648</v>
      </c>
      <c r="H451" s="97"/>
      <c r="I451" s="98">
        <f>8/60</f>
        <v>0.13333333333333333</v>
      </c>
      <c r="J451" s="110">
        <f>+I451*(1+Tiempos!$C$17)</f>
        <v>0.14033333333333334</v>
      </c>
      <c r="K451" s="98">
        <f t="shared" si="89"/>
        <v>90.936000000000007</v>
      </c>
      <c r="L451" s="98">
        <f>+K451/Tiempos!$B$11</f>
        <v>0.19768695652173915</v>
      </c>
      <c r="M451" s="238"/>
      <c r="N451" s="238"/>
      <c r="O451" s="238"/>
      <c r="P451" s="238"/>
      <c r="Q451" s="261"/>
    </row>
    <row r="452" spans="1:17" x14ac:dyDescent="0.35">
      <c r="A452" s="81"/>
      <c r="B452" s="81">
        <v>2</v>
      </c>
      <c r="C452" s="83">
        <v>1</v>
      </c>
      <c r="D452" s="83" t="s">
        <v>333</v>
      </c>
      <c r="E452" s="99" t="s">
        <v>682</v>
      </c>
      <c r="F452" s="81" t="str">
        <f>+F451</f>
        <v>PIE_EROS_L2</v>
      </c>
      <c r="G452" s="180">
        <f>VLOOKUP(F452,Volumenes!$D$20:$F$184,3,FALSE)</f>
        <v>648</v>
      </c>
      <c r="H452" s="97"/>
      <c r="I452" s="98">
        <f>10/60</f>
        <v>0.16666666666666666</v>
      </c>
      <c r="J452" s="110">
        <f>+I452*(1+Tiempos!$C$17)</f>
        <v>0.17541666666666667</v>
      </c>
      <c r="K452" s="98">
        <f>+J452*G452</f>
        <v>113.67</v>
      </c>
      <c r="L452" s="98">
        <f>+K452/Tiempos!$B$11</f>
        <v>0.24710869565217392</v>
      </c>
      <c r="M452" s="238"/>
      <c r="N452" s="238"/>
      <c r="O452" s="238"/>
      <c r="P452" s="238"/>
      <c r="Q452" s="261"/>
    </row>
    <row r="453" spans="1:17" x14ac:dyDescent="0.35">
      <c r="A453" s="81"/>
      <c r="B453" s="81">
        <v>2</v>
      </c>
      <c r="C453" s="83">
        <v>1</v>
      </c>
      <c r="D453" s="83" t="s">
        <v>46</v>
      </c>
      <c r="E453" s="99" t="s">
        <v>1077</v>
      </c>
      <c r="F453" s="81" t="str">
        <f>+F449</f>
        <v>CAR_SUM_L2</v>
      </c>
      <c r="G453" s="180">
        <f>VLOOKUP(F453,Volumenes!$D$20:$F$184,3,FALSE)</f>
        <v>72</v>
      </c>
      <c r="H453" s="97"/>
      <c r="I453" s="98">
        <f>12/60</f>
        <v>0.2</v>
      </c>
      <c r="J453" s="110">
        <f>+I453*(1+Tiempos!$C$17)</f>
        <v>0.21050000000000002</v>
      </c>
      <c r="K453" s="98">
        <f>+J453*G453</f>
        <v>15.156000000000002</v>
      </c>
      <c r="L453" s="98">
        <f>+K453/Tiempos!$B$11</f>
        <v>3.2947826086956525E-2</v>
      </c>
      <c r="M453" s="238"/>
      <c r="N453" s="238"/>
      <c r="O453" s="238"/>
      <c r="P453" s="238"/>
      <c r="Q453" s="261"/>
    </row>
    <row r="454" spans="1:17" x14ac:dyDescent="0.35">
      <c r="A454" s="75"/>
      <c r="B454" s="75"/>
      <c r="E454" s="104"/>
      <c r="F454" s="75"/>
      <c r="G454" s="108"/>
      <c r="H454" s="105"/>
      <c r="I454" s="106"/>
      <c r="J454" s="107"/>
      <c r="K454" s="109"/>
      <c r="L454" s="98">
        <f>SUM(L449:L453)</f>
        <v>0.75230869565217395</v>
      </c>
      <c r="M454" s="141"/>
      <c r="N454" s="141"/>
      <c r="O454" s="141"/>
      <c r="P454" s="141"/>
      <c r="Q454" s="141"/>
    </row>
    <row r="455" spans="1:17" x14ac:dyDescent="0.35">
      <c r="A455" s="75"/>
      <c r="B455" s="75"/>
      <c r="E455" s="104"/>
      <c r="F455" s="75"/>
      <c r="G455" s="108"/>
      <c r="H455" s="105"/>
      <c r="I455" s="106"/>
      <c r="J455" s="107"/>
      <c r="K455" s="109"/>
      <c r="L455" s="109"/>
      <c r="M455" s="249"/>
      <c r="N455" s="249"/>
      <c r="O455" s="249"/>
      <c r="P455" s="249"/>
      <c r="Q455" s="249"/>
    </row>
    <row r="456" spans="1:17" ht="13.15" x14ac:dyDescent="0.4">
      <c r="A456" s="84" t="s">
        <v>1079</v>
      </c>
      <c r="B456" s="84"/>
      <c r="C456" s="70"/>
      <c r="D456" s="70"/>
      <c r="E456" s="94"/>
      <c r="F456" s="80"/>
      <c r="G456" s="80"/>
      <c r="H456" s="80"/>
      <c r="I456" s="80"/>
      <c r="J456" s="80"/>
      <c r="K456" s="80"/>
      <c r="L456" s="80"/>
    </row>
    <row r="457" spans="1:17" x14ac:dyDescent="0.35">
      <c r="A457" s="81"/>
      <c r="B457" s="81">
        <v>2</v>
      </c>
      <c r="C457" s="83">
        <v>1</v>
      </c>
      <c r="D457" s="83" t="s">
        <v>69</v>
      </c>
      <c r="E457" s="99" t="s">
        <v>728</v>
      </c>
      <c r="F457" s="391" t="str">
        <f>+Volumenes!D207</f>
        <v>PIE_SAT</v>
      </c>
      <c r="G457" s="180">
        <f>VLOOKUP(F457,Volumenes!$D$20:$F$222,3,FALSE)</f>
        <v>290</v>
      </c>
      <c r="H457" s="97"/>
      <c r="I457" s="98">
        <f>20/60</f>
        <v>0.33333333333333331</v>
      </c>
      <c r="J457" s="110">
        <f>+I457*(1+Tiempos!$C$17)</f>
        <v>0.35083333333333333</v>
      </c>
      <c r="K457" s="98">
        <f>+J457*G457</f>
        <v>101.74166666666666</v>
      </c>
      <c r="L457" s="98">
        <f>+K457/Tiempos!$B$11</f>
        <v>0.22117753623188405</v>
      </c>
      <c r="M457" s="261">
        <f>+K457/Tiempos!$B$12</f>
        <v>0.11058876811594202</v>
      </c>
      <c r="N457" s="238"/>
      <c r="O457" s="238"/>
      <c r="P457" s="238"/>
      <c r="Q457" s="261"/>
    </row>
    <row r="458" spans="1:17" x14ac:dyDescent="0.35">
      <c r="A458" s="81"/>
      <c r="B458" s="81">
        <v>2</v>
      </c>
      <c r="C458" s="83">
        <v>1</v>
      </c>
      <c r="D458" s="83" t="s">
        <v>69</v>
      </c>
      <c r="E458" s="99" t="s">
        <v>731</v>
      </c>
      <c r="F458" s="391" t="str">
        <f>+Volumenes!D206</f>
        <v>SAT_REC</v>
      </c>
      <c r="G458" s="180">
        <f>VLOOKUP(F458,Volumenes!$D$20:$F$222,3,FALSE)</f>
        <v>2</v>
      </c>
      <c r="H458" s="97"/>
      <c r="I458" s="98">
        <f>15/60</f>
        <v>0.25</v>
      </c>
      <c r="J458" s="110">
        <f>+I458*(1+Tiempos!$C$17)</f>
        <v>0.263125</v>
      </c>
      <c r="K458" s="98">
        <f>+J458*G458</f>
        <v>0.52625</v>
      </c>
      <c r="L458" s="98">
        <f>+K458/Tiempos!$B$11</f>
        <v>1.1440217391304349E-3</v>
      </c>
      <c r="M458" s="261">
        <f>+K458/Tiempos!$B$12</f>
        <v>5.7201086956521743E-4</v>
      </c>
      <c r="N458" s="238"/>
      <c r="O458" s="238"/>
      <c r="P458" s="238"/>
      <c r="Q458" s="261"/>
    </row>
    <row r="459" spans="1:17" x14ac:dyDescent="0.35">
      <c r="A459" s="92"/>
      <c r="B459" s="92">
        <v>2</v>
      </c>
      <c r="C459" s="100">
        <v>1</v>
      </c>
      <c r="D459" s="100" t="s">
        <v>69</v>
      </c>
      <c r="E459" s="101" t="s">
        <v>733</v>
      </c>
      <c r="F459" s="393" t="str">
        <f>+F458</f>
        <v>SAT_REC</v>
      </c>
      <c r="G459" s="155">
        <f>VLOOKUP(F459,Volumenes!$D$20:$F$222,3,FALSE)</f>
        <v>2</v>
      </c>
      <c r="H459" s="102">
        <f>VLOOKUP(F459,Tiempos!$D$42:$F$228,2,FALSE)</f>
        <v>950</v>
      </c>
      <c r="I459" s="103">
        <f>VLOOKUP(F459,Tiempos!$D$42:$F$117,3,FALSE)</f>
        <v>10.756340579710146</v>
      </c>
      <c r="J459" s="111">
        <f>+I459*(1+Tiempos!$C$17)</f>
        <v>11.321048460144929</v>
      </c>
      <c r="K459" s="103">
        <f t="shared" ref="K459:K460" si="90">+J459*G459</f>
        <v>22.642096920289859</v>
      </c>
      <c r="L459" s="103">
        <f>+K459/Tiempos!$B$11</f>
        <v>4.9221949826717085E-2</v>
      </c>
      <c r="M459" s="262">
        <f>+K459/Tiempos!$B$12</f>
        <v>2.4610974913358542E-2</v>
      </c>
      <c r="N459" s="243"/>
      <c r="O459" s="243"/>
      <c r="P459" s="243"/>
      <c r="Q459" s="262"/>
    </row>
    <row r="460" spans="1:17" x14ac:dyDescent="0.35">
      <c r="A460" s="81"/>
      <c r="B460" s="81">
        <v>2</v>
      </c>
      <c r="C460" s="83">
        <v>1</v>
      </c>
      <c r="D460" s="83" t="s">
        <v>69</v>
      </c>
      <c r="E460" s="99" t="s">
        <v>729</v>
      </c>
      <c r="F460" s="391" t="str">
        <f>+Volumenes!D207</f>
        <v>PIE_SAT</v>
      </c>
      <c r="G460" s="180">
        <f>VLOOKUP(F460,Volumenes!$D$20:$F$222,3,FALSE)</f>
        <v>290</v>
      </c>
      <c r="H460" s="97"/>
      <c r="I460" s="98">
        <f>15/60</f>
        <v>0.25</v>
      </c>
      <c r="J460" s="110">
        <f>+I460*(1+Tiempos!$C$17)</f>
        <v>0.263125</v>
      </c>
      <c r="K460" s="98">
        <f t="shared" si="90"/>
        <v>76.306250000000006</v>
      </c>
      <c r="L460" s="98">
        <f>+K460/Tiempos!$B$11</f>
        <v>0.16588315217391306</v>
      </c>
      <c r="M460" s="261">
        <f>+K460/Tiempos!$B$12</f>
        <v>8.2941576086956528E-2</v>
      </c>
      <c r="N460" s="238"/>
      <c r="O460" s="238"/>
      <c r="P460" s="238"/>
      <c r="Q460" s="261"/>
    </row>
    <row r="461" spans="1:17" x14ac:dyDescent="0.35">
      <c r="A461" s="81"/>
      <c r="B461" s="81">
        <v>2</v>
      </c>
      <c r="C461" s="83">
        <v>1</v>
      </c>
      <c r="D461" s="83" t="s">
        <v>69</v>
      </c>
      <c r="E461" s="99" t="s">
        <v>870</v>
      </c>
      <c r="F461" s="391" t="str">
        <f>+Volumenes!D208</f>
        <v>ELI_SAT</v>
      </c>
      <c r="G461" s="180">
        <f>VLOOKUP(F461,Volumenes!$D$20:$F$222,3,FALSE)</f>
        <v>6</v>
      </c>
      <c r="H461" s="97"/>
      <c r="I461" s="98">
        <f>70/60</f>
        <v>1.1666666666666667</v>
      </c>
      <c r="J461" s="110">
        <f>+I461*(1+Tiempos!$C$17)</f>
        <v>1.2279166666666668</v>
      </c>
      <c r="K461" s="98">
        <f t="shared" ref="K461" si="91">+J461*G461</f>
        <v>7.3675000000000006</v>
      </c>
      <c r="L461" s="98">
        <f>+K461/Tiempos!$B$11</f>
        <v>1.6016304347826089E-2</v>
      </c>
      <c r="M461" s="261">
        <f>+K461/Tiempos!$B$12</f>
        <v>8.0081521739130447E-3</v>
      </c>
      <c r="N461" s="238"/>
      <c r="O461" s="238"/>
      <c r="P461" s="238"/>
      <c r="Q461" s="261"/>
    </row>
    <row r="462" spans="1:17" x14ac:dyDescent="0.35">
      <c r="A462" s="81"/>
      <c r="B462" s="81">
        <v>2</v>
      </c>
      <c r="C462" s="83">
        <v>1</v>
      </c>
      <c r="D462" s="83" t="s">
        <v>69</v>
      </c>
      <c r="E462" s="99" t="s">
        <v>730</v>
      </c>
      <c r="F462" s="391" t="str">
        <f>+F458</f>
        <v>SAT_REC</v>
      </c>
      <c r="G462" s="180">
        <f>VLOOKUP(F462,Volumenes!$D$20:$F$222,3,FALSE)</f>
        <v>2</v>
      </c>
      <c r="H462" s="97"/>
      <c r="I462" s="98">
        <f>15/60</f>
        <v>0.25</v>
      </c>
      <c r="J462" s="110">
        <f>+I462*(1+Tiempos!$C$17)</f>
        <v>0.263125</v>
      </c>
      <c r="K462" s="98">
        <f>+J462*G462</f>
        <v>0.52625</v>
      </c>
      <c r="L462" s="98">
        <f>+K462/Tiempos!$B$11</f>
        <v>1.1440217391304349E-3</v>
      </c>
      <c r="M462" s="261">
        <f>+K462/Tiempos!$B$12</f>
        <v>5.7201086956521743E-4</v>
      </c>
      <c r="N462" s="238"/>
      <c r="O462" s="238"/>
      <c r="P462" s="238"/>
      <c r="Q462" s="261"/>
    </row>
    <row r="463" spans="1:17" x14ac:dyDescent="0.35">
      <c r="A463" s="75"/>
      <c r="B463" s="75"/>
      <c r="E463" s="104"/>
      <c r="F463" s="75"/>
      <c r="G463" s="108"/>
      <c r="H463" s="105"/>
      <c r="I463" s="106"/>
      <c r="J463" s="107"/>
      <c r="K463" s="109"/>
      <c r="L463" s="98">
        <f>SUM(L457:L462)</f>
        <v>0.45458698605860115</v>
      </c>
      <c r="M463" s="98">
        <f>SUM(M457:M462)</f>
        <v>0.22729349302930058</v>
      </c>
      <c r="N463" s="141"/>
      <c r="O463" s="141"/>
      <c r="P463" s="141"/>
      <c r="Q463" s="141"/>
    </row>
    <row r="464" spans="1:17" x14ac:dyDescent="0.35">
      <c r="A464" s="75"/>
      <c r="B464" s="75"/>
      <c r="E464" s="104"/>
      <c r="F464" s="75"/>
      <c r="G464" s="108"/>
      <c r="H464" s="105"/>
      <c r="I464" s="106"/>
      <c r="J464" s="107"/>
      <c r="K464" s="109"/>
      <c r="L464" s="109"/>
      <c r="M464" s="249"/>
      <c r="N464" s="249"/>
      <c r="O464" s="249"/>
      <c r="P464" s="249"/>
      <c r="Q464" s="249"/>
    </row>
    <row r="465" spans="1:17" ht="13.15" x14ac:dyDescent="0.4">
      <c r="A465" s="84" t="s">
        <v>762</v>
      </c>
      <c r="B465" s="84"/>
      <c r="C465" s="70"/>
      <c r="D465" s="70"/>
      <c r="E465" s="94"/>
      <c r="F465" s="80"/>
      <c r="G465" s="80"/>
      <c r="H465" s="80"/>
      <c r="I465" s="80"/>
      <c r="J465" s="80"/>
      <c r="K465" s="80"/>
      <c r="L465" s="80"/>
    </row>
    <row r="466" spans="1:17" x14ac:dyDescent="0.35">
      <c r="A466" s="92"/>
      <c r="B466" s="92">
        <v>2</v>
      </c>
      <c r="C466" s="100">
        <v>1</v>
      </c>
      <c r="D466" s="100" t="s">
        <v>69</v>
      </c>
      <c r="E466" s="101" t="s">
        <v>753</v>
      </c>
      <c r="F466" s="393" t="str">
        <f>+Volumenes!D212</f>
        <v>REC_CAR</v>
      </c>
      <c r="G466" s="155">
        <f>VLOOKUP(F466,Volumenes!$D$20:$F$222,3,FALSE)</f>
        <v>40</v>
      </c>
      <c r="H466" s="102">
        <v>40</v>
      </c>
      <c r="I466" s="103">
        <f>+(H466/Tiempos!B29)/60</f>
        <v>0.34188034188034189</v>
      </c>
      <c r="J466" s="111">
        <f>+I466*(1+Tiempos!$C$17)</f>
        <v>0.35982905982905983</v>
      </c>
      <c r="K466" s="103">
        <f>+J466*G466</f>
        <v>14.393162393162394</v>
      </c>
      <c r="L466" s="103">
        <f>+K466/Tiempos!$B$11</f>
        <v>3.1289483463396509E-2</v>
      </c>
      <c r="M466" s="262">
        <f>+K466/Tiempos!$B$12</f>
        <v>1.5644741731698254E-2</v>
      </c>
      <c r="N466" s="243"/>
      <c r="O466" s="243"/>
      <c r="P466" s="243"/>
      <c r="Q466" s="262"/>
    </row>
    <row r="467" spans="1:17" x14ac:dyDescent="0.35">
      <c r="A467" s="81"/>
      <c r="B467" s="81">
        <v>2</v>
      </c>
      <c r="C467" s="83">
        <v>1</v>
      </c>
      <c r="D467" s="83" t="s">
        <v>69</v>
      </c>
      <c r="E467" s="99" t="s">
        <v>754</v>
      </c>
      <c r="F467" s="391" t="str">
        <f>+F466</f>
        <v>REC_CAR</v>
      </c>
      <c r="G467" s="180">
        <f>VLOOKUP(F467,Volumenes!$D$20:$F$222,3,FALSE)</f>
        <v>40</v>
      </c>
      <c r="H467" s="97"/>
      <c r="I467" s="98">
        <f>20/60</f>
        <v>0.33333333333333331</v>
      </c>
      <c r="J467" s="110">
        <f>+I467*(1+Tiempos!$C$17)</f>
        <v>0.35083333333333333</v>
      </c>
      <c r="K467" s="98">
        <f>+J467*G467</f>
        <v>14.033333333333333</v>
      </c>
      <c r="L467" s="98">
        <f>+K467/Tiempos!$B$11</f>
        <v>3.0507246376811594E-2</v>
      </c>
      <c r="M467" s="261">
        <f>+K467/Tiempos!$B$12</f>
        <v>1.5253623188405797E-2</v>
      </c>
      <c r="N467" s="238"/>
      <c r="O467" s="238"/>
      <c r="P467" s="238"/>
      <c r="Q467" s="261"/>
    </row>
    <row r="468" spans="1:17" x14ac:dyDescent="0.35">
      <c r="A468" s="92"/>
      <c r="B468" s="92">
        <v>2</v>
      </c>
      <c r="C468" s="100">
        <v>1</v>
      </c>
      <c r="D468" s="100" t="s">
        <v>69</v>
      </c>
      <c r="E468" s="101" t="s">
        <v>755</v>
      </c>
      <c r="F468" s="393" t="str">
        <f>+F467</f>
        <v>REC_CAR</v>
      </c>
      <c r="G468" s="155">
        <f>VLOOKUP(F468,Volumenes!$D$20:$F$222,3,FALSE)</f>
        <v>40</v>
      </c>
      <c r="H468" s="102">
        <f>VLOOKUP(F468,Tiempos!$D$42:$F$228,2,FALSE)</f>
        <v>340</v>
      </c>
      <c r="I468" s="103">
        <f>VLOOKUP(F468,Tiempos!$D$42:$F$117,3,FALSE)</f>
        <v>2.9059829059829059</v>
      </c>
      <c r="J468" s="111">
        <f>+I468*(1+Tiempos!$C$17)</f>
        <v>3.0585470085470083</v>
      </c>
      <c r="K468" s="103">
        <f t="shared" ref="K468:K469" si="92">+J468*G468</f>
        <v>122.34188034188034</v>
      </c>
      <c r="L468" s="103">
        <f>+K468/Tiempos!$B$11</f>
        <v>0.26596060943887029</v>
      </c>
      <c r="M468" s="262">
        <f>+K468/Tiempos!$B$12</f>
        <v>0.13298030471943514</v>
      </c>
      <c r="N468" s="243"/>
      <c r="O468" s="243"/>
      <c r="P468" s="243"/>
      <c r="Q468" s="262"/>
    </row>
    <row r="469" spans="1:17" x14ac:dyDescent="0.35">
      <c r="A469" s="81"/>
      <c r="B469" s="81">
        <v>2</v>
      </c>
      <c r="C469" s="83">
        <v>1</v>
      </c>
      <c r="D469" s="83" t="s">
        <v>69</v>
      </c>
      <c r="E469" s="99" t="s">
        <v>756</v>
      </c>
      <c r="F469" s="391" t="str">
        <f>+F468</f>
        <v>REC_CAR</v>
      </c>
      <c r="G469" s="180">
        <f>VLOOKUP(F469,Volumenes!$D$20:$F$222,3,FALSE)</f>
        <v>40</v>
      </c>
      <c r="H469" s="97"/>
      <c r="I469" s="98">
        <f>120/60</f>
        <v>2</v>
      </c>
      <c r="J469" s="110">
        <f>+I469*(1+Tiempos!$C$17)</f>
        <v>2.105</v>
      </c>
      <c r="K469" s="98">
        <f t="shared" si="92"/>
        <v>84.2</v>
      </c>
      <c r="L469" s="98">
        <f>+K469/Tiempos!$B$11</f>
        <v>0.18304347826086956</v>
      </c>
      <c r="M469" s="261">
        <f>+K469/Tiempos!$B$12</f>
        <v>9.1521739130434779E-2</v>
      </c>
      <c r="N469" s="238"/>
      <c r="O469" s="238"/>
      <c r="P469" s="238"/>
      <c r="Q469" s="261"/>
    </row>
    <row r="470" spans="1:17" x14ac:dyDescent="0.35">
      <c r="A470" s="81"/>
      <c r="B470" s="81">
        <v>2</v>
      </c>
      <c r="C470" s="83">
        <v>1</v>
      </c>
      <c r="D470" s="83" t="s">
        <v>69</v>
      </c>
      <c r="E470" s="99" t="s">
        <v>757</v>
      </c>
      <c r="F470" s="391" t="str">
        <f>+F469</f>
        <v>REC_CAR</v>
      </c>
      <c r="G470" s="180">
        <f>VLOOKUP(F470,Volumenes!$D$20:$F$222,3,FALSE)</f>
        <v>40</v>
      </c>
      <c r="H470" s="97"/>
      <c r="I470" s="98">
        <f>30/60</f>
        <v>0.5</v>
      </c>
      <c r="J470" s="110">
        <f>+I470*(1+Tiempos!$C$17)</f>
        <v>0.52625</v>
      </c>
      <c r="K470" s="98">
        <f>+J470*G470</f>
        <v>21.05</v>
      </c>
      <c r="L470" s="98">
        <f>+K470/Tiempos!$B$11</f>
        <v>4.5760869565217389E-2</v>
      </c>
      <c r="M470" s="261">
        <f>+K470/Tiempos!$B$12</f>
        <v>2.2880434782608695E-2</v>
      </c>
      <c r="N470" s="238"/>
      <c r="O470" s="238"/>
      <c r="P470" s="238"/>
      <c r="Q470" s="261"/>
    </row>
    <row r="471" spans="1:17" x14ac:dyDescent="0.35">
      <c r="A471" s="92"/>
      <c r="B471" s="92">
        <v>2</v>
      </c>
      <c r="C471" s="100">
        <v>1</v>
      </c>
      <c r="D471" s="100" t="s">
        <v>69</v>
      </c>
      <c r="E471" s="101" t="s">
        <v>802</v>
      </c>
      <c r="F471" s="393" t="str">
        <f>+Volumenes!D213</f>
        <v>CAR_HAR</v>
      </c>
      <c r="G471" s="155">
        <f>VLOOKUP(F471,Volumenes!$D$20:$F$222,3,FALSE)</f>
        <v>4</v>
      </c>
      <c r="H471" s="102">
        <v>80</v>
      </c>
      <c r="I471" s="103">
        <f>(H471/Tiempos!B29)/60</f>
        <v>0.68376068376068377</v>
      </c>
      <c r="J471" s="111">
        <f>+I471*(1+Tiempos!$C$17)</f>
        <v>0.71965811965811965</v>
      </c>
      <c r="K471" s="103">
        <f t="shared" ref="K471:K472" si="93">+J471*G471</f>
        <v>2.8786324786324786</v>
      </c>
      <c r="L471" s="103">
        <f>+K471/Tiempos!$B$11</f>
        <v>6.2578966926793017E-3</v>
      </c>
      <c r="M471" s="262">
        <f>+K471/Tiempos!$B$12</f>
        <v>3.1289483463396509E-3</v>
      </c>
      <c r="N471" s="243"/>
      <c r="O471" s="243"/>
      <c r="P471" s="243"/>
      <c r="Q471" s="262"/>
    </row>
    <row r="472" spans="1:17" x14ac:dyDescent="0.35">
      <c r="A472" s="81"/>
      <c r="B472" s="81">
        <v>2</v>
      </c>
      <c r="C472" s="83">
        <v>1</v>
      </c>
      <c r="D472" s="83" t="s">
        <v>69</v>
      </c>
      <c r="E472" s="99" t="s">
        <v>803</v>
      </c>
      <c r="F472" s="391" t="str">
        <f t="shared" ref="F472" si="94">+F471</f>
        <v>CAR_HAR</v>
      </c>
      <c r="G472" s="180">
        <f>VLOOKUP(F472,Volumenes!$D$20:$F$222,3,FALSE)</f>
        <v>4</v>
      </c>
      <c r="H472" s="97"/>
      <c r="I472" s="98">
        <f>25/60</f>
        <v>0.41666666666666669</v>
      </c>
      <c r="J472" s="110">
        <f>+I472*(1+Tiempos!$C$17)</f>
        <v>0.43854166666666666</v>
      </c>
      <c r="K472" s="98">
        <f t="shared" si="93"/>
        <v>1.7541666666666667</v>
      </c>
      <c r="L472" s="98">
        <f>+K472/Tiempos!$B$11</f>
        <v>3.8134057971014493E-3</v>
      </c>
      <c r="M472" s="261">
        <f>+K472/Tiempos!$B$12</f>
        <v>1.9067028985507246E-3</v>
      </c>
      <c r="N472" s="238"/>
      <c r="O472" s="238"/>
      <c r="P472" s="238"/>
      <c r="Q472" s="261"/>
    </row>
    <row r="473" spans="1:17" x14ac:dyDescent="0.35">
      <c r="A473" s="92"/>
      <c r="B473" s="92">
        <v>2</v>
      </c>
      <c r="C473" s="100">
        <v>1</v>
      </c>
      <c r="D473" s="100" t="s">
        <v>69</v>
      </c>
      <c r="E473" s="101" t="s">
        <v>807</v>
      </c>
      <c r="F473" s="393" t="str">
        <f>+F472</f>
        <v>CAR_HAR</v>
      </c>
      <c r="G473" s="155">
        <f>VLOOKUP(F473,Volumenes!$D$20:$F$222,3,FALSE)</f>
        <v>4</v>
      </c>
      <c r="H473" s="102">
        <f>VLOOKUP(F473,Tiempos!$D$42:$F$228,2,FALSE)</f>
        <v>220</v>
      </c>
      <c r="I473" s="103">
        <f>VLOOKUP(F473,Tiempos!$D$42:$F$117,3,FALSE)</f>
        <v>1.8803418803418803</v>
      </c>
      <c r="J473" s="111">
        <f>+I473*(1+Tiempos!$C$17)</f>
        <v>1.9790598290598291</v>
      </c>
      <c r="K473" s="103">
        <f t="shared" ref="K473:K474" si="95">+J473*G473</f>
        <v>7.9162393162393165</v>
      </c>
      <c r="L473" s="103">
        <f>+K473/Tiempos!$B$11</f>
        <v>1.720921590486808E-2</v>
      </c>
      <c r="M473" s="262">
        <f>+K473/Tiempos!$B$12</f>
        <v>8.6046079524340398E-3</v>
      </c>
      <c r="N473" s="243"/>
      <c r="O473" s="243"/>
      <c r="P473" s="243"/>
      <c r="Q473" s="262"/>
    </row>
    <row r="474" spans="1:17" x14ac:dyDescent="0.35">
      <c r="A474" s="81"/>
      <c r="B474" s="81">
        <v>2</v>
      </c>
      <c r="C474" s="83">
        <v>1</v>
      </c>
      <c r="D474" s="83" t="s">
        <v>69</v>
      </c>
      <c r="E474" s="99" t="s">
        <v>756</v>
      </c>
      <c r="F474" s="391" t="str">
        <f>+F473</f>
        <v>CAR_HAR</v>
      </c>
      <c r="G474" s="180">
        <f>VLOOKUP(F474,Volumenes!$D$20:$F$222,3,FALSE)</f>
        <v>4</v>
      </c>
      <c r="H474" s="97"/>
      <c r="I474" s="98">
        <v>2</v>
      </c>
      <c r="J474" s="110">
        <f>+I474*(1+Tiempos!$C$17)</f>
        <v>2.105</v>
      </c>
      <c r="K474" s="98">
        <f t="shared" si="95"/>
        <v>8.42</v>
      </c>
      <c r="L474" s="98">
        <f>+K474/Tiempos!$B$11</f>
        <v>1.8304347826086958E-2</v>
      </c>
      <c r="M474" s="261">
        <f>+K474/Tiempos!$B$12</f>
        <v>9.1521739130434789E-3</v>
      </c>
      <c r="N474" s="238"/>
      <c r="O474" s="238"/>
      <c r="P474" s="238"/>
      <c r="Q474" s="261"/>
    </row>
    <row r="475" spans="1:17" x14ac:dyDescent="0.35">
      <c r="A475" s="92"/>
      <c r="B475" s="92">
        <v>2</v>
      </c>
      <c r="C475" s="100">
        <v>1</v>
      </c>
      <c r="D475" s="100" t="s">
        <v>69</v>
      </c>
      <c r="E475" s="101" t="s">
        <v>804</v>
      </c>
      <c r="F475" s="393" t="str">
        <f>+F474</f>
        <v>CAR_HAR</v>
      </c>
      <c r="G475" s="155">
        <f>VLOOKUP(F475,Volumenes!$D$20:$F$222,3,FALSE)</f>
        <v>4</v>
      </c>
      <c r="H475" s="102">
        <v>180</v>
      </c>
      <c r="I475" s="103">
        <f>(H475/Tiempos!B29)/60</f>
        <v>1.5384615384615385</v>
      </c>
      <c r="J475" s="111">
        <f>+I475*(1+Tiempos!$C$17)</f>
        <v>1.6192307692307693</v>
      </c>
      <c r="K475" s="103">
        <f t="shared" ref="K475" si="96">+J475*G475</f>
        <v>6.476923076923077</v>
      </c>
      <c r="L475" s="103">
        <f>+K475/Tiempos!$B$11</f>
        <v>1.4080267558528429E-2</v>
      </c>
      <c r="M475" s="262">
        <f>+K475/Tiempos!$B$12</f>
        <v>7.0401337792642144E-3</v>
      </c>
      <c r="N475" s="243"/>
      <c r="O475" s="243"/>
      <c r="P475" s="243"/>
      <c r="Q475" s="262"/>
    </row>
    <row r="476" spans="1:17" x14ac:dyDescent="0.35">
      <c r="A476" s="75"/>
      <c r="B476" s="75"/>
      <c r="E476" s="104"/>
      <c r="F476" s="75"/>
      <c r="G476" s="108"/>
      <c r="H476" s="105"/>
      <c r="I476" s="106"/>
      <c r="J476" s="107"/>
      <c r="K476" s="109"/>
      <c r="L476" s="98">
        <f>SUM(L466:L475)</f>
        <v>0.61622682088442959</v>
      </c>
      <c r="M476" s="98">
        <f>SUM(M466:M475)</f>
        <v>0.3081134104422148</v>
      </c>
      <c r="N476" s="141"/>
      <c r="O476" s="141"/>
      <c r="P476" s="141"/>
      <c r="Q476" s="141"/>
    </row>
    <row r="477" spans="1:17" x14ac:dyDescent="0.35">
      <c r="A477" s="75"/>
      <c r="B477" s="75"/>
      <c r="E477" s="104"/>
      <c r="F477" s="75"/>
      <c r="G477" s="108"/>
      <c r="H477" s="105"/>
      <c r="I477" s="106"/>
      <c r="J477" s="107"/>
      <c r="K477" s="109"/>
      <c r="L477" s="109"/>
      <c r="M477" s="109"/>
      <c r="N477" s="249"/>
      <c r="O477" s="249"/>
      <c r="P477" s="249"/>
      <c r="Q477" s="249"/>
    </row>
    <row r="478" spans="1:17" ht="13.15" x14ac:dyDescent="0.4">
      <c r="A478" s="84" t="s">
        <v>801</v>
      </c>
      <c r="B478" s="84"/>
      <c r="C478" s="70"/>
      <c r="D478" s="70"/>
      <c r="E478" s="94"/>
      <c r="F478" s="80"/>
      <c r="G478" s="80"/>
      <c r="H478" s="80"/>
      <c r="I478" s="80"/>
      <c r="J478" s="80"/>
      <c r="K478" s="80"/>
      <c r="L478" s="80"/>
    </row>
    <row r="479" spans="1:17" x14ac:dyDescent="0.35">
      <c r="A479" s="81"/>
      <c r="B479" s="81">
        <v>2</v>
      </c>
      <c r="C479" s="83">
        <v>1</v>
      </c>
      <c r="D479" s="83" t="s">
        <v>69</v>
      </c>
      <c r="E479" s="99" t="s">
        <v>763</v>
      </c>
      <c r="F479" s="391" t="str">
        <f>+Volumenes!D24</f>
        <v>MAQ_ELE</v>
      </c>
      <c r="G479" s="180">
        <f>VLOOKUP(F479,Volumenes!$D$20:$F$222,3,FALSE)</f>
        <v>19</v>
      </c>
      <c r="H479" s="97"/>
      <c r="I479" s="98">
        <f>30/60</f>
        <v>0.5</v>
      </c>
      <c r="J479" s="110">
        <f>+I479*(1+Tiempos!$C$17)</f>
        <v>0.52625</v>
      </c>
      <c r="K479" s="98">
        <f>+J479*G479</f>
        <v>9.9987499999999994</v>
      </c>
      <c r="L479" s="98">
        <f>+K479/Tiempos!$B$11</f>
        <v>2.1736413043478259E-2</v>
      </c>
      <c r="M479" s="261">
        <f>+K479/Tiempos!$B$12</f>
        <v>1.0868206521739129E-2</v>
      </c>
      <c r="N479" s="238"/>
      <c r="O479" s="238"/>
      <c r="P479" s="238"/>
      <c r="Q479" s="261"/>
    </row>
    <row r="480" spans="1:17" x14ac:dyDescent="0.35">
      <c r="A480" s="92"/>
      <c r="B480" s="92">
        <v>2</v>
      </c>
      <c r="C480" s="100">
        <v>1</v>
      </c>
      <c r="D480" s="100" t="s">
        <v>69</v>
      </c>
      <c r="E480" s="101" t="s">
        <v>764</v>
      </c>
      <c r="F480" s="393" t="str">
        <f>+F479</f>
        <v>MAQ_ELE</v>
      </c>
      <c r="G480" s="155">
        <f>VLOOKUP(F480,Volumenes!$D$20:$F$222,3,FALSE)</f>
        <v>19</v>
      </c>
      <c r="H480" s="102">
        <v>60</v>
      </c>
      <c r="I480" s="103">
        <f>(H480/Tiempos!$B$29)/60</f>
        <v>0.51282051282051289</v>
      </c>
      <c r="J480" s="111">
        <f>+I480*(1+Tiempos!$C$17)</f>
        <v>0.53974358974358982</v>
      </c>
      <c r="K480" s="103">
        <f t="shared" ref="K480:K481" si="97">+J480*G480</f>
        <v>10.255128205128207</v>
      </c>
      <c r="L480" s="103">
        <f>+K480/Tiempos!$B$11</f>
        <v>2.2293756967670015E-2</v>
      </c>
      <c r="M480" s="262">
        <f>+K480/Tiempos!$B$12</f>
        <v>1.1146878483835007E-2</v>
      </c>
      <c r="N480" s="243"/>
      <c r="O480" s="243"/>
      <c r="P480" s="243"/>
      <c r="Q480" s="262"/>
    </row>
    <row r="481" spans="1:17" x14ac:dyDescent="0.35">
      <c r="A481" s="92"/>
      <c r="B481" s="92">
        <v>2</v>
      </c>
      <c r="C481" s="100">
        <v>1</v>
      </c>
      <c r="D481" s="100" t="s">
        <v>69</v>
      </c>
      <c r="E481" s="101" t="s">
        <v>765</v>
      </c>
      <c r="F481" s="393" t="str">
        <f>+F480</f>
        <v>MAQ_ELE</v>
      </c>
      <c r="G481" s="155">
        <f>VLOOKUP(F481,Volumenes!$D$20:$F$222,3,FALSE)</f>
        <v>19</v>
      </c>
      <c r="H481" s="102">
        <f>VLOOKUP(F481,Tiempos!$D$42:$F$228,2,FALSE)</f>
        <v>37</v>
      </c>
      <c r="I481" s="103">
        <f>VLOOKUP(F481,Tiempos!$D$42:$F$117,3,FALSE)</f>
        <v>0.31623931623931623</v>
      </c>
      <c r="J481" s="111">
        <f>+I481*(1+Tiempos!$C$17)</f>
        <v>0.33284188034188034</v>
      </c>
      <c r="K481" s="103">
        <f t="shared" si="97"/>
        <v>6.3239957264957267</v>
      </c>
      <c r="L481" s="103">
        <f>+K481/Tiempos!$B$11</f>
        <v>1.3747816796729841E-2</v>
      </c>
      <c r="M481" s="262">
        <f>+K481/Tiempos!$B$12</f>
        <v>6.8739083983649207E-3</v>
      </c>
      <c r="N481" s="243"/>
      <c r="O481" s="243"/>
      <c r="P481" s="243"/>
      <c r="Q481" s="262"/>
    </row>
    <row r="482" spans="1:17" x14ac:dyDescent="0.35">
      <c r="A482" s="81"/>
      <c r="B482" s="81">
        <v>2</v>
      </c>
      <c r="C482" s="83">
        <v>1</v>
      </c>
      <c r="D482" s="83" t="s">
        <v>69</v>
      </c>
      <c r="E482" s="99" t="s">
        <v>766</v>
      </c>
      <c r="F482" s="391" t="str">
        <f>+F481</f>
        <v>MAQ_ELE</v>
      </c>
      <c r="G482" s="180">
        <f>VLOOKUP(F482,Volumenes!$D$20:$F$222,3,FALSE)</f>
        <v>19</v>
      </c>
      <c r="H482" s="97"/>
      <c r="I482" s="98">
        <f>35/60</f>
        <v>0.58333333333333337</v>
      </c>
      <c r="J482" s="110">
        <f>+I482*(1+Tiempos!$C$17)</f>
        <v>0.61395833333333338</v>
      </c>
      <c r="K482" s="98">
        <f>+J482*G482</f>
        <v>11.665208333333334</v>
      </c>
      <c r="L482" s="98">
        <f>+K482/Tiempos!$B$11</f>
        <v>2.5359148550724641E-2</v>
      </c>
      <c r="M482" s="261">
        <f>+K482/Tiempos!$B$12</f>
        <v>1.267957427536232E-2</v>
      </c>
      <c r="N482" s="238"/>
      <c r="O482" s="238"/>
      <c r="P482" s="238"/>
      <c r="Q482" s="261"/>
    </row>
    <row r="483" spans="1:17" x14ac:dyDescent="0.35">
      <c r="A483" s="75"/>
      <c r="B483" s="75"/>
      <c r="E483" s="104"/>
      <c r="F483" s="75"/>
      <c r="G483" s="108"/>
      <c r="H483" s="105"/>
      <c r="I483" s="106"/>
      <c r="J483" s="107"/>
      <c r="K483" s="109"/>
      <c r="L483" s="98">
        <f>SUM(L479:L482)</f>
        <v>8.3137135358602759E-2</v>
      </c>
      <c r="M483" s="98">
        <f>SUM(M479:M482)</f>
        <v>4.156856767930138E-2</v>
      </c>
      <c r="N483" s="141"/>
      <c r="O483" s="141"/>
      <c r="P483" s="141"/>
      <c r="Q483" s="141"/>
    </row>
    <row r="484" spans="1:17" x14ac:dyDescent="0.35">
      <c r="A484" s="75"/>
      <c r="B484" s="75"/>
      <c r="E484" s="104"/>
      <c r="F484" s="75"/>
      <c r="G484" s="108"/>
      <c r="H484" s="105"/>
      <c r="I484" s="106"/>
      <c r="J484" s="107"/>
      <c r="K484" s="109"/>
      <c r="L484" s="109"/>
      <c r="M484" s="109"/>
      <c r="N484" s="249"/>
      <c r="O484" s="249"/>
      <c r="P484" s="249"/>
      <c r="Q484" s="249"/>
    </row>
    <row r="485" spans="1:17" ht="13.15" x14ac:dyDescent="0.4">
      <c r="A485" s="84" t="s">
        <v>848</v>
      </c>
      <c r="B485" s="84"/>
      <c r="C485" s="70"/>
      <c r="D485" s="70"/>
      <c r="E485" s="94"/>
      <c r="F485" s="80"/>
      <c r="G485" s="80"/>
      <c r="H485" s="80"/>
      <c r="I485" s="80"/>
      <c r="J485" s="80"/>
      <c r="K485" s="80"/>
      <c r="L485" s="80"/>
    </row>
    <row r="486" spans="1:17" x14ac:dyDescent="0.35">
      <c r="A486" s="81"/>
      <c r="B486" s="81">
        <v>2</v>
      </c>
      <c r="C486" s="83">
        <v>1</v>
      </c>
      <c r="D486" s="83" t="s">
        <v>69</v>
      </c>
      <c r="E486" s="99" t="s">
        <v>763</v>
      </c>
      <c r="F486" s="391" t="str">
        <f>+Volumenes!D220</f>
        <v>CAL_L2</v>
      </c>
      <c r="G486" s="180">
        <f>VLOOKUP(F486,Volumenes!$D$20:$F$222,3,FALSE)</f>
        <v>1</v>
      </c>
      <c r="H486" s="97"/>
      <c r="I486" s="98">
        <f>30/60</f>
        <v>0.5</v>
      </c>
      <c r="J486" s="110">
        <f>+I486*(1+Tiempos!$C$17)</f>
        <v>0.52625</v>
      </c>
      <c r="K486" s="98">
        <f>+J486*G486</f>
        <v>0.52625</v>
      </c>
      <c r="L486" s="98">
        <f>+K486/Tiempos!$B$11</f>
        <v>1.1440217391304349E-3</v>
      </c>
      <c r="M486" s="261">
        <f>+K486/Tiempos!$B$12</f>
        <v>5.7201086956521743E-4</v>
      </c>
      <c r="N486" s="238"/>
      <c r="O486" s="238"/>
      <c r="P486" s="238"/>
      <c r="Q486" s="261"/>
    </row>
    <row r="487" spans="1:17" x14ac:dyDescent="0.35">
      <c r="A487" s="92"/>
      <c r="B487" s="92">
        <v>2</v>
      </c>
      <c r="C487" s="100">
        <v>1</v>
      </c>
      <c r="D487" s="100" t="s">
        <v>69</v>
      </c>
      <c r="E487" s="101" t="s">
        <v>764</v>
      </c>
      <c r="F487" s="393" t="str">
        <f>+F486</f>
        <v>CAL_L2</v>
      </c>
      <c r="G487" s="155">
        <f>VLOOKUP(F487,Volumenes!$D$20:$F$222,3,FALSE)</f>
        <v>1</v>
      </c>
      <c r="H487" s="102">
        <v>60</v>
      </c>
      <c r="I487" s="103">
        <f>(H487/Tiempos!$B$29)/60</f>
        <v>0.51282051282051289</v>
      </c>
      <c r="J487" s="111">
        <f>+I487*(1+Tiempos!$C$17)</f>
        <v>0.53974358974358982</v>
      </c>
      <c r="K487" s="103">
        <f t="shared" ref="K487:K488" si="98">+J487*G487</f>
        <v>0.53974358974358982</v>
      </c>
      <c r="L487" s="103">
        <f>+K487/Tiempos!$B$11</f>
        <v>1.1733556298773693E-3</v>
      </c>
      <c r="M487" s="262">
        <f>+K487/Tiempos!$B$12</f>
        <v>5.8667781493868464E-4</v>
      </c>
      <c r="N487" s="243"/>
      <c r="O487" s="243"/>
      <c r="P487" s="243"/>
      <c r="Q487" s="262"/>
    </row>
    <row r="488" spans="1:17" x14ac:dyDescent="0.35">
      <c r="A488" s="92"/>
      <c r="B488" s="92">
        <v>2</v>
      </c>
      <c r="C488" s="100">
        <v>1</v>
      </c>
      <c r="D488" s="100" t="s">
        <v>69</v>
      </c>
      <c r="E488" s="101" t="s">
        <v>765</v>
      </c>
      <c r="F488" s="393" t="str">
        <f>+F487</f>
        <v>CAL_L2</v>
      </c>
      <c r="G488" s="155">
        <f>VLOOKUP(F488,Volumenes!$D$20:$F$222,3,FALSE)</f>
        <v>1</v>
      </c>
      <c r="H488" s="102">
        <v>37</v>
      </c>
      <c r="I488" s="103">
        <f>(H488/Tiempos!$B$29)/60</f>
        <v>0.31623931623931623</v>
      </c>
      <c r="J488" s="111">
        <f>+I488*(1+Tiempos!$C$17)</f>
        <v>0.33284188034188034</v>
      </c>
      <c r="K488" s="103">
        <f t="shared" si="98"/>
        <v>0.33284188034188034</v>
      </c>
      <c r="L488" s="103">
        <f>+K488/Tiempos!$B$11</f>
        <v>7.235693050910442E-4</v>
      </c>
      <c r="M488" s="262">
        <f>+K488/Tiempos!$B$12</f>
        <v>3.617846525455221E-4</v>
      </c>
      <c r="N488" s="243"/>
      <c r="O488" s="243"/>
      <c r="P488" s="243"/>
      <c r="Q488" s="262"/>
    </row>
    <row r="489" spans="1:17" x14ac:dyDescent="0.35">
      <c r="A489" s="81"/>
      <c r="B489" s="81">
        <v>2</v>
      </c>
      <c r="C489" s="83">
        <v>1</v>
      </c>
      <c r="D489" s="83" t="s">
        <v>69</v>
      </c>
      <c r="E489" s="99" t="s">
        <v>766</v>
      </c>
      <c r="F489" s="391" t="str">
        <f>+F488</f>
        <v>CAL_L2</v>
      </c>
      <c r="G489" s="180">
        <f>VLOOKUP(F489,Volumenes!$D$20:$F$222,3,FALSE)</f>
        <v>1</v>
      </c>
      <c r="H489" s="97"/>
      <c r="I489" s="98">
        <f>30/60</f>
        <v>0.5</v>
      </c>
      <c r="J489" s="110">
        <f>+I489*(1+Tiempos!$C$17)</f>
        <v>0.52625</v>
      </c>
      <c r="K489" s="98">
        <f>+J489*G489</f>
        <v>0.52625</v>
      </c>
      <c r="L489" s="98">
        <f>+K489/Tiempos!$B$11</f>
        <v>1.1440217391304349E-3</v>
      </c>
      <c r="M489" s="261">
        <f>+K489/Tiempos!$B$12</f>
        <v>5.7201086956521743E-4</v>
      </c>
      <c r="N489" s="238"/>
      <c r="O489" s="238"/>
      <c r="P489" s="238"/>
      <c r="Q489" s="261"/>
    </row>
    <row r="490" spans="1:17" x14ac:dyDescent="0.35">
      <c r="A490" s="75"/>
      <c r="B490" s="75"/>
      <c r="E490" s="104"/>
      <c r="F490" s="75"/>
      <c r="G490" s="108"/>
      <c r="H490" s="105"/>
      <c r="I490" s="106"/>
      <c r="J490" s="107"/>
      <c r="K490" s="109"/>
      <c r="L490" s="425">
        <f>SUM(L486:L489)</f>
        <v>4.1849684132292831E-3</v>
      </c>
      <c r="M490" s="425">
        <f>SUM(M486:M489)</f>
        <v>2.0924842066146416E-3</v>
      </c>
      <c r="N490" s="141"/>
      <c r="O490" s="141"/>
      <c r="P490" s="141"/>
      <c r="Q490" s="141"/>
    </row>
    <row r="491" spans="1:17" x14ac:dyDescent="0.35">
      <c r="A491" s="75"/>
      <c r="B491" s="75"/>
      <c r="E491" s="104"/>
      <c r="F491" s="75"/>
      <c r="G491" s="108"/>
      <c r="H491" s="105"/>
      <c r="I491" s="109"/>
      <c r="J491" s="107"/>
      <c r="K491" s="109"/>
      <c r="L491" s="109"/>
      <c r="M491" s="109"/>
      <c r="N491" s="249"/>
      <c r="O491" s="249"/>
      <c r="P491" s="249"/>
      <c r="Q491" s="249"/>
    </row>
    <row r="492" spans="1:17" ht="13.15" x14ac:dyDescent="0.4">
      <c r="A492" s="84" t="s">
        <v>752</v>
      </c>
      <c r="B492" s="84"/>
      <c r="C492" s="70"/>
      <c r="D492" s="70"/>
      <c r="E492" s="94"/>
      <c r="F492" s="80"/>
      <c r="G492" s="80"/>
      <c r="H492" s="80"/>
      <c r="I492" s="80"/>
      <c r="J492" s="80"/>
      <c r="K492" s="80"/>
      <c r="L492" s="80"/>
    </row>
    <row r="493" spans="1:17" x14ac:dyDescent="0.35">
      <c r="A493" s="81"/>
      <c r="B493" s="81">
        <v>2</v>
      </c>
      <c r="C493" s="83">
        <v>1</v>
      </c>
      <c r="D493" s="83" t="s">
        <v>69</v>
      </c>
      <c r="E493" s="99" t="s">
        <v>779</v>
      </c>
      <c r="F493" s="391" t="str">
        <f>+Volumenes!D214</f>
        <v>ZOC_ELE</v>
      </c>
      <c r="G493" s="180">
        <f>VLOOKUP(F493,Volumenes!$D$20:$F$222,3,FALSE)</f>
        <v>12</v>
      </c>
      <c r="H493" s="97"/>
      <c r="I493" s="98">
        <f>15/60</f>
        <v>0.25</v>
      </c>
      <c r="J493" s="110">
        <f>+I493*(1+Tiempos!$C$17)</f>
        <v>0.263125</v>
      </c>
      <c r="K493" s="98">
        <f>+J493*G493</f>
        <v>3.1574999999999998</v>
      </c>
      <c r="L493" s="98">
        <f>+K493/Tiempos!$B$11</f>
        <v>6.8641304347826079E-3</v>
      </c>
      <c r="M493" s="261">
        <f>+K493/Tiempos!$B$12</f>
        <v>3.4320652173913039E-3</v>
      </c>
      <c r="N493" s="238"/>
      <c r="O493" s="238"/>
      <c r="P493" s="238"/>
      <c r="Q493" s="261"/>
    </row>
    <row r="494" spans="1:17" x14ac:dyDescent="0.35">
      <c r="A494" s="81"/>
      <c r="B494" s="81">
        <v>2</v>
      </c>
      <c r="C494" s="83">
        <v>1</v>
      </c>
      <c r="D494" s="83" t="s">
        <v>69</v>
      </c>
      <c r="E494" s="99" t="s">
        <v>780</v>
      </c>
      <c r="F494" s="391" t="str">
        <f>+F493</f>
        <v>ZOC_ELE</v>
      </c>
      <c r="G494" s="180">
        <f>VLOOKUP(F494,Volumenes!$D$20:$F$222,3,FALSE)</f>
        <v>12</v>
      </c>
      <c r="H494" s="97"/>
      <c r="I494" s="98">
        <f>15/60</f>
        <v>0.25</v>
      </c>
      <c r="J494" s="110">
        <f>+I494*(1+Tiempos!$C$17)</f>
        <v>0.263125</v>
      </c>
      <c r="K494" s="98">
        <f>+J494*G494</f>
        <v>3.1574999999999998</v>
      </c>
      <c r="L494" s="98">
        <f>+K494/Tiempos!$B$11</f>
        <v>6.8641304347826079E-3</v>
      </c>
      <c r="M494" s="261">
        <f>+K494/Tiempos!$B$12</f>
        <v>3.4320652173913039E-3</v>
      </c>
      <c r="N494" s="238"/>
      <c r="O494" s="238"/>
      <c r="P494" s="238"/>
      <c r="Q494" s="261"/>
    </row>
    <row r="495" spans="1:17" x14ac:dyDescent="0.35">
      <c r="A495" s="92"/>
      <c r="B495" s="92">
        <v>2</v>
      </c>
      <c r="C495" s="100">
        <v>1</v>
      </c>
      <c r="D495" s="100" t="s">
        <v>69</v>
      </c>
      <c r="E495" s="101" t="s">
        <v>781</v>
      </c>
      <c r="F495" s="393" t="str">
        <f>+F494</f>
        <v>ZOC_ELE</v>
      </c>
      <c r="G495" s="155">
        <f>VLOOKUP(F495,Volumenes!$D$20:$F$222,3,FALSE)</f>
        <v>12</v>
      </c>
      <c r="H495" s="102">
        <f>VLOOKUP(F495,Tiempos!$D$42:$F$228,2,FALSE)</f>
        <v>50</v>
      </c>
      <c r="I495" s="103">
        <f>VLOOKUP(F495,Tiempos!$D$42:$F$117,3,FALSE)</f>
        <v>0.42735042735042739</v>
      </c>
      <c r="J495" s="111">
        <f>+I495*(1+Tiempos!$C$17)</f>
        <v>0.4497863247863248</v>
      </c>
      <c r="K495" s="103">
        <f t="shared" ref="K495:K496" si="99">+J495*G495</f>
        <v>5.3974358974358978</v>
      </c>
      <c r="L495" s="103">
        <f>+K495/Tiempos!$B$11</f>
        <v>1.1733556298773691E-2</v>
      </c>
      <c r="M495" s="262">
        <f>+K495/Tiempos!$B$12</f>
        <v>5.8667781493868454E-3</v>
      </c>
      <c r="N495" s="243"/>
      <c r="O495" s="243"/>
      <c r="P495" s="243"/>
      <c r="Q495" s="262"/>
    </row>
    <row r="496" spans="1:17" x14ac:dyDescent="0.35">
      <c r="A496" s="81"/>
      <c r="B496" s="81">
        <v>2</v>
      </c>
      <c r="C496" s="83">
        <v>1</v>
      </c>
      <c r="D496" s="83" t="s">
        <v>69</v>
      </c>
      <c r="E496" s="99" t="s">
        <v>782</v>
      </c>
      <c r="F496" s="391" t="str">
        <f>+F495</f>
        <v>ZOC_ELE</v>
      </c>
      <c r="G496" s="180">
        <f>VLOOKUP(F496,Volumenes!$D$20:$F$222,3,FALSE)</f>
        <v>12</v>
      </c>
      <c r="H496" s="97"/>
      <c r="I496" s="98">
        <f>18/60</f>
        <v>0.3</v>
      </c>
      <c r="J496" s="110">
        <f>+I496*(1+Tiempos!$C$17)</f>
        <v>0.31574999999999998</v>
      </c>
      <c r="K496" s="98">
        <f t="shared" si="99"/>
        <v>3.7889999999999997</v>
      </c>
      <c r="L496" s="98">
        <f>+K496/Tiempos!$B$11</f>
        <v>8.2369565217391295E-3</v>
      </c>
      <c r="M496" s="261">
        <f>+K496/Tiempos!$B$12</f>
        <v>4.1184782608695647E-3</v>
      </c>
      <c r="N496" s="238"/>
      <c r="O496" s="238"/>
      <c r="P496" s="238"/>
      <c r="Q496" s="261"/>
    </row>
    <row r="497" spans="1:17" x14ac:dyDescent="0.35">
      <c r="A497" s="75"/>
      <c r="B497" s="75"/>
      <c r="E497" s="104"/>
      <c r="F497" s="75"/>
      <c r="G497" s="108"/>
      <c r="H497" s="105"/>
      <c r="I497" s="106"/>
      <c r="J497" s="107"/>
      <c r="K497" s="109"/>
      <c r="L497" s="98">
        <f>SUM(L493:L496)</f>
        <v>3.3698773690078038E-2</v>
      </c>
      <c r="M497" s="98">
        <f>SUM(M493:M496)</f>
        <v>1.6849386845039019E-2</v>
      </c>
      <c r="N497" s="141"/>
      <c r="O497" s="141"/>
      <c r="P497" s="141"/>
      <c r="Q497" s="141"/>
    </row>
    <row r="498" spans="1:17" x14ac:dyDescent="0.35">
      <c r="A498" s="75"/>
      <c r="B498" s="75"/>
      <c r="E498" s="104"/>
      <c r="F498" s="75"/>
      <c r="G498" s="108"/>
      <c r="H498" s="105"/>
      <c r="I498" s="106"/>
      <c r="J498" s="107"/>
      <c r="K498" s="109"/>
      <c r="L498" s="109"/>
      <c r="M498" s="109"/>
      <c r="N498" s="249"/>
      <c r="O498" s="249"/>
      <c r="P498" s="249"/>
      <c r="Q498" s="249"/>
    </row>
    <row r="499" spans="1:17" ht="13.15" x14ac:dyDescent="0.4">
      <c r="A499" s="84" t="s">
        <v>751</v>
      </c>
      <c r="B499" s="84"/>
      <c r="C499" s="70"/>
      <c r="D499" s="70"/>
      <c r="E499" s="94"/>
      <c r="F499" s="80"/>
      <c r="G499" s="80"/>
      <c r="H499" s="80"/>
      <c r="I499" s="80"/>
      <c r="J499" s="80"/>
      <c r="K499" s="80"/>
      <c r="L499" s="80"/>
    </row>
    <row r="500" spans="1:17" x14ac:dyDescent="0.35">
      <c r="A500" s="92"/>
      <c r="B500" s="92">
        <v>2</v>
      </c>
      <c r="C500" s="100">
        <v>1</v>
      </c>
      <c r="D500" s="100" t="s">
        <v>69</v>
      </c>
      <c r="E500" s="101" t="s">
        <v>788</v>
      </c>
      <c r="F500" s="393" t="str">
        <f>+Volumenes!D23</f>
        <v>MAQ_L3</v>
      </c>
      <c r="G500" s="155">
        <f>VLOOKUP(F500,Volumenes!$D$20:$F$222,3,FALSE)</f>
        <v>1</v>
      </c>
      <c r="H500" s="102">
        <v>137</v>
      </c>
      <c r="I500" s="103">
        <f>(H500/Tiempos!$B$29)/60</f>
        <v>1.170940170940171</v>
      </c>
      <c r="J500" s="111">
        <f>+I500*(1+Tiempos!$C$17)</f>
        <v>1.2324145299145299</v>
      </c>
      <c r="K500" s="103">
        <f>+J500*G500</f>
        <v>1.2324145299145299</v>
      </c>
      <c r="L500" s="424">
        <f>+K500/Tiempos!$B$11</f>
        <v>2.6791620215533261E-3</v>
      </c>
      <c r="M500" s="262">
        <f>+K500/Tiempos!$B$12</f>
        <v>1.339581010776663E-3</v>
      </c>
      <c r="N500" s="243"/>
      <c r="O500" s="243"/>
      <c r="P500" s="243"/>
      <c r="Q500" s="262"/>
    </row>
    <row r="501" spans="1:17" x14ac:dyDescent="0.35">
      <c r="A501" s="81"/>
      <c r="B501" s="81">
        <v>2</v>
      </c>
      <c r="C501" s="83">
        <v>1</v>
      </c>
      <c r="D501" s="83" t="s">
        <v>69</v>
      </c>
      <c r="E501" s="99" t="s">
        <v>795</v>
      </c>
      <c r="F501" s="391" t="str">
        <f>+Volumenes!D23</f>
        <v>MAQ_L3</v>
      </c>
      <c r="G501" s="180">
        <f>VLOOKUP(F501,Volumenes!$D$20:$F$222,3,FALSE)</f>
        <v>1</v>
      </c>
      <c r="H501" s="97"/>
      <c r="I501" s="98">
        <f>30/60</f>
        <v>0.5</v>
      </c>
      <c r="J501" s="110">
        <f>+I501*(1+Tiempos!$C$17)</f>
        <v>0.52625</v>
      </c>
      <c r="K501" s="98">
        <f t="shared" ref="K501" si="100">+J501*G501</f>
        <v>0.52625</v>
      </c>
      <c r="L501" s="425">
        <f>+K501/Tiempos!$B$11</f>
        <v>1.1440217391304349E-3</v>
      </c>
      <c r="M501" s="261">
        <f>+K501/Tiempos!$B$12</f>
        <v>5.7201086956521743E-4</v>
      </c>
      <c r="N501" s="238"/>
      <c r="O501" s="238"/>
      <c r="P501" s="238"/>
      <c r="Q501" s="261"/>
    </row>
    <row r="502" spans="1:17" x14ac:dyDescent="0.35">
      <c r="A502" s="92"/>
      <c r="B502" s="92">
        <v>2</v>
      </c>
      <c r="C502" s="100">
        <v>1</v>
      </c>
      <c r="D502" s="100" t="s">
        <v>69</v>
      </c>
      <c r="E502" s="101" t="s">
        <v>787</v>
      </c>
      <c r="F502" s="393" t="str">
        <f>+F500</f>
        <v>MAQ_L3</v>
      </c>
      <c r="G502" s="155">
        <f>VLOOKUP(F502,Volumenes!$D$20:$F$222,3,FALSE)</f>
        <v>1</v>
      </c>
      <c r="H502" s="102">
        <v>35</v>
      </c>
      <c r="I502" s="103">
        <f>(H502/Tiempos!$B$29)/60</f>
        <v>0.29914529914529914</v>
      </c>
      <c r="J502" s="111">
        <f>+I502*(1+Tiempos!$C$17)</f>
        <v>0.31485042735042734</v>
      </c>
      <c r="K502" s="103">
        <f>+J502*G502</f>
        <v>0.31485042735042734</v>
      </c>
      <c r="L502" s="424">
        <f>+K502/Tiempos!$B$11</f>
        <v>6.8445745076179852E-4</v>
      </c>
      <c r="M502" s="262">
        <f>+K502/Tiempos!$B$12</f>
        <v>3.4222872538089926E-4</v>
      </c>
      <c r="N502" s="243"/>
      <c r="O502" s="243"/>
      <c r="P502" s="243"/>
      <c r="Q502" s="262"/>
    </row>
    <row r="503" spans="1:17" x14ac:dyDescent="0.35">
      <c r="A503" s="81"/>
      <c r="B503" s="81">
        <v>2</v>
      </c>
      <c r="C503" s="83">
        <v>1</v>
      </c>
      <c r="D503" s="83" t="s">
        <v>69</v>
      </c>
      <c r="E503" s="99" t="s">
        <v>789</v>
      </c>
      <c r="F503" s="391" t="str">
        <f t="shared" ref="F503:F508" si="101">+F502</f>
        <v>MAQ_L3</v>
      </c>
      <c r="G503" s="180">
        <f>VLOOKUP(F503,Volumenes!$D$20:$F$222,3,FALSE)</f>
        <v>1</v>
      </c>
      <c r="H503" s="97"/>
      <c r="I503" s="98">
        <f>55/60</f>
        <v>0.91666666666666663</v>
      </c>
      <c r="J503" s="110">
        <f>+I503*(1+Tiempos!$C$17)</f>
        <v>0.9647916666666666</v>
      </c>
      <c r="K503" s="98">
        <f t="shared" ref="K503:K505" si="102">+J503*G503</f>
        <v>0.9647916666666666</v>
      </c>
      <c r="L503" s="425">
        <f>+K503/Tiempos!$B$11</f>
        <v>2.0973731884057971E-3</v>
      </c>
      <c r="M503" s="261">
        <f>+K503/Tiempos!$B$12</f>
        <v>1.0486865942028985E-3</v>
      </c>
      <c r="N503" s="238"/>
      <c r="O503" s="238"/>
      <c r="P503" s="238"/>
      <c r="Q503" s="261"/>
    </row>
    <row r="504" spans="1:17" x14ac:dyDescent="0.35">
      <c r="A504" s="92"/>
      <c r="B504" s="92">
        <v>2</v>
      </c>
      <c r="C504" s="100">
        <v>1</v>
      </c>
      <c r="D504" s="100" t="s">
        <v>69</v>
      </c>
      <c r="E504" s="101" t="s">
        <v>790</v>
      </c>
      <c r="F504" s="393" t="str">
        <f t="shared" si="101"/>
        <v>MAQ_L3</v>
      </c>
      <c r="G504" s="155">
        <f>VLOOKUP(F504,Volumenes!$D$20:$F$222,3,FALSE)</f>
        <v>1</v>
      </c>
      <c r="H504" s="102">
        <v>40</v>
      </c>
      <c r="I504" s="103">
        <f>(H504/Tiempos!$B$29)/60</f>
        <v>0.34188034188034189</v>
      </c>
      <c r="J504" s="111">
        <f>+I504*(1+Tiempos!$C$17)</f>
        <v>0.35982905982905983</v>
      </c>
      <c r="K504" s="103">
        <f t="shared" si="102"/>
        <v>0.35982905982905983</v>
      </c>
      <c r="L504" s="424">
        <f>+K504/Tiempos!$B$11</f>
        <v>7.8223708658491271E-4</v>
      </c>
      <c r="M504" s="262">
        <f>+K504/Tiempos!$B$12</f>
        <v>3.9111854329245636E-4</v>
      </c>
      <c r="N504" s="243"/>
      <c r="O504" s="243"/>
      <c r="P504" s="243"/>
      <c r="Q504" s="262"/>
    </row>
    <row r="505" spans="1:17" x14ac:dyDescent="0.35">
      <c r="A505" s="81"/>
      <c r="B505" s="81">
        <v>2</v>
      </c>
      <c r="C505" s="83">
        <v>1</v>
      </c>
      <c r="D505" s="83" t="s">
        <v>69</v>
      </c>
      <c r="E505" s="99" t="s">
        <v>791</v>
      </c>
      <c r="F505" s="391" t="str">
        <f t="shared" si="101"/>
        <v>MAQ_L3</v>
      </c>
      <c r="G505" s="180">
        <f>VLOOKUP(F505,Volumenes!$D$20:$F$222,3,FALSE)</f>
        <v>1</v>
      </c>
      <c r="H505" s="97"/>
      <c r="I505" s="98">
        <f>30/60</f>
        <v>0.5</v>
      </c>
      <c r="J505" s="110">
        <f>+I505*(1+Tiempos!$C$17)</f>
        <v>0.52625</v>
      </c>
      <c r="K505" s="98">
        <f t="shared" si="102"/>
        <v>0.52625</v>
      </c>
      <c r="L505" s="425">
        <f>+K505/Tiempos!$B$11</f>
        <v>1.1440217391304349E-3</v>
      </c>
      <c r="M505" s="261">
        <f>+K505/Tiempos!$B$12</f>
        <v>5.7201086956521743E-4</v>
      </c>
      <c r="N505" s="238"/>
      <c r="O505" s="238"/>
      <c r="P505" s="238"/>
      <c r="Q505" s="261"/>
    </row>
    <row r="506" spans="1:17" x14ac:dyDescent="0.35">
      <c r="A506" s="81"/>
      <c r="B506" s="81">
        <v>2</v>
      </c>
      <c r="C506" s="83">
        <v>1</v>
      </c>
      <c r="D506" s="83" t="s">
        <v>69</v>
      </c>
      <c r="E506" s="99" t="s">
        <v>792</v>
      </c>
      <c r="F506" s="391" t="str">
        <f t="shared" si="101"/>
        <v>MAQ_L3</v>
      </c>
      <c r="G506" s="180">
        <f>VLOOKUP(F506,Volumenes!$D$20:$F$222,3,FALSE)</f>
        <v>1</v>
      </c>
      <c r="H506" s="97"/>
      <c r="I506" s="98">
        <f>25/60</f>
        <v>0.41666666666666669</v>
      </c>
      <c r="J506" s="110">
        <f>+I506*(1+Tiempos!$C$17)</f>
        <v>0.43854166666666666</v>
      </c>
      <c r="K506" s="98">
        <f>+J506*G506</f>
        <v>0.43854166666666666</v>
      </c>
      <c r="L506" s="425">
        <f>+K506/Tiempos!$B$11</f>
        <v>9.5335144927536232E-4</v>
      </c>
      <c r="M506" s="261">
        <f>+K506/Tiempos!$B$12</f>
        <v>4.7667572463768116E-4</v>
      </c>
      <c r="N506" s="238"/>
      <c r="O506" s="238"/>
      <c r="P506" s="238"/>
      <c r="Q506" s="261"/>
    </row>
    <row r="507" spans="1:17" x14ac:dyDescent="0.35">
      <c r="A507" s="81"/>
      <c r="B507" s="81">
        <v>2</v>
      </c>
      <c r="C507" s="83">
        <v>1</v>
      </c>
      <c r="D507" s="83" t="s">
        <v>69</v>
      </c>
      <c r="E507" s="99" t="s">
        <v>793</v>
      </c>
      <c r="F507" s="391" t="str">
        <f t="shared" si="101"/>
        <v>MAQ_L3</v>
      </c>
      <c r="G507" s="180">
        <f>VLOOKUP(F507,Volumenes!$D$20:$F$222,3,FALSE)</f>
        <v>1</v>
      </c>
      <c r="H507" s="97"/>
      <c r="I507" s="98">
        <f>10/60</f>
        <v>0.16666666666666666</v>
      </c>
      <c r="J507" s="110">
        <f>+I507*(1+Tiempos!$C$17)</f>
        <v>0.17541666666666667</v>
      </c>
      <c r="K507" s="98">
        <f t="shared" ref="K507:K508" si="103">+J507*G507</f>
        <v>0.17541666666666667</v>
      </c>
      <c r="L507" s="425">
        <f>+K507/Tiempos!$B$11</f>
        <v>3.8134057971014494E-4</v>
      </c>
      <c r="M507" s="261">
        <f>+K507/Tiempos!$B$12</f>
        <v>1.9067028985507247E-4</v>
      </c>
      <c r="N507" s="238"/>
      <c r="O507" s="238"/>
      <c r="P507" s="238"/>
      <c r="Q507" s="261"/>
    </row>
    <row r="508" spans="1:17" x14ac:dyDescent="0.35">
      <c r="A508" s="92"/>
      <c r="B508" s="92">
        <v>2</v>
      </c>
      <c r="C508" s="100">
        <v>1</v>
      </c>
      <c r="D508" s="100" t="s">
        <v>69</v>
      </c>
      <c r="E508" s="101" t="s">
        <v>794</v>
      </c>
      <c r="F508" s="393" t="str">
        <f t="shared" si="101"/>
        <v>MAQ_L3</v>
      </c>
      <c r="G508" s="155">
        <f>VLOOKUP(F508,Volumenes!$D$20:$F$222,3,FALSE)</f>
        <v>1</v>
      </c>
      <c r="H508" s="102">
        <v>137</v>
      </c>
      <c r="I508" s="103">
        <f>(H508/Tiempos!$B$29)/60</f>
        <v>1.170940170940171</v>
      </c>
      <c r="J508" s="111">
        <f>+I508*(1+Tiempos!$C$17)</f>
        <v>1.2324145299145299</v>
      </c>
      <c r="K508" s="103">
        <f t="shared" si="103"/>
        <v>1.2324145299145299</v>
      </c>
      <c r="L508" s="424">
        <f>+K508/Tiempos!$B$11</f>
        <v>2.6791620215533261E-3</v>
      </c>
      <c r="M508" s="262">
        <f>+K508/Tiempos!$B$12</f>
        <v>1.339581010776663E-3</v>
      </c>
      <c r="N508" s="243"/>
      <c r="O508" s="243"/>
      <c r="P508" s="243"/>
      <c r="Q508" s="262"/>
    </row>
    <row r="509" spans="1:17" x14ac:dyDescent="0.35">
      <c r="A509" s="75"/>
      <c r="B509" s="75"/>
      <c r="E509" s="104"/>
      <c r="F509" s="75"/>
      <c r="G509" s="108"/>
      <c r="H509" s="105"/>
      <c r="I509" s="106"/>
      <c r="J509" s="107"/>
      <c r="K509" s="109"/>
      <c r="L509" s="98">
        <f>SUM(L500:L508)</f>
        <v>1.2545127276105536E-2</v>
      </c>
      <c r="M509" s="98">
        <f>SUM(M500:M508)</f>
        <v>6.2725636380527678E-3</v>
      </c>
      <c r="N509" s="141"/>
      <c r="O509" s="141"/>
      <c r="P509" s="141"/>
      <c r="Q509" s="141"/>
    </row>
    <row r="510" spans="1:17" x14ac:dyDescent="0.35">
      <c r="A510" s="75"/>
      <c r="B510" s="75"/>
      <c r="E510" s="104"/>
      <c r="F510" s="75"/>
      <c r="G510" s="108"/>
      <c r="H510" s="105"/>
      <c r="I510" s="106"/>
      <c r="J510" s="107"/>
      <c r="K510" s="109"/>
      <c r="L510" s="109"/>
      <c r="M510" s="109"/>
      <c r="N510" s="249"/>
      <c r="O510" s="249"/>
      <c r="P510" s="249"/>
      <c r="Q510" s="249"/>
    </row>
    <row r="511" spans="1:17" ht="13.15" x14ac:dyDescent="0.4">
      <c r="A511" s="84" t="s">
        <v>844</v>
      </c>
      <c r="B511" s="84"/>
      <c r="C511" s="70"/>
      <c r="D511" s="70"/>
      <c r="E511" s="94"/>
      <c r="F511" s="80"/>
      <c r="G511" s="80"/>
      <c r="H511" s="80"/>
      <c r="I511" s="80"/>
      <c r="J511" s="80"/>
      <c r="K511" s="80"/>
      <c r="L511" s="80"/>
    </row>
    <row r="512" spans="1:17" x14ac:dyDescent="0.35">
      <c r="A512" s="81"/>
      <c r="B512" s="81">
        <v>2</v>
      </c>
      <c r="C512" s="83">
        <v>1</v>
      </c>
      <c r="D512" s="83" t="s">
        <v>69</v>
      </c>
      <c r="E512" s="99" t="s">
        <v>843</v>
      </c>
      <c r="F512" s="391" t="str">
        <f>+Volumenes!D215</f>
        <v>ENV_MEC</v>
      </c>
      <c r="G512" s="180">
        <f>VLOOKUP(F512,Volumenes!$D$20:$F$222,3,FALSE)</f>
        <v>63</v>
      </c>
      <c r="H512" s="97"/>
      <c r="I512" s="98">
        <f>12/60</f>
        <v>0.2</v>
      </c>
      <c r="J512" s="110">
        <f>+I512*(1+Tiempos!$C$17)</f>
        <v>0.21050000000000002</v>
      </c>
      <c r="K512" s="98">
        <f>+J512*G512</f>
        <v>13.261500000000002</v>
      </c>
      <c r="L512" s="98">
        <f>+K512/Tiempos!$B$11</f>
        <v>2.8829347826086961E-2</v>
      </c>
      <c r="M512" s="261"/>
      <c r="N512" s="238"/>
      <c r="O512" s="238"/>
      <c r="P512" s="238"/>
      <c r="Q512" s="261"/>
    </row>
    <row r="513" spans="1:17" x14ac:dyDescent="0.35">
      <c r="A513" s="81"/>
      <c r="B513" s="81">
        <v>2</v>
      </c>
      <c r="C513" s="83">
        <v>1</v>
      </c>
      <c r="D513" s="83" t="s">
        <v>69</v>
      </c>
      <c r="E513" s="99" t="s">
        <v>845</v>
      </c>
      <c r="F513" s="391" t="str">
        <f>+Volumenes!D215</f>
        <v>ENV_MEC</v>
      </c>
      <c r="G513" s="180">
        <f>VLOOKUP(F513,Volumenes!$D$20:$F$222,3,FALSE)</f>
        <v>63</v>
      </c>
      <c r="H513" s="97"/>
      <c r="I513" s="98">
        <f>95/60</f>
        <v>1.5833333333333333</v>
      </c>
      <c r="J513" s="110">
        <f>+I513*(1+Tiempos!$C$17)</f>
        <v>1.6664583333333332</v>
      </c>
      <c r="K513" s="98">
        <f>+J513*G513</f>
        <v>104.98687499999998</v>
      </c>
      <c r="L513" s="98">
        <f>+K513/Tiempos!$B$11</f>
        <v>0.2282323369565217</v>
      </c>
      <c r="M513" s="261"/>
      <c r="N513" s="238"/>
      <c r="O513" s="238"/>
      <c r="P513" s="238"/>
      <c r="Q513" s="261"/>
    </row>
    <row r="514" spans="1:17" x14ac:dyDescent="0.35">
      <c r="A514" s="81"/>
      <c r="B514" s="81">
        <v>2</v>
      </c>
      <c r="C514" s="83">
        <v>1</v>
      </c>
      <c r="D514" s="83" t="s">
        <v>69</v>
      </c>
      <c r="E514" s="99" t="s">
        <v>925</v>
      </c>
      <c r="F514" s="391" t="str">
        <f>+F513</f>
        <v>ENV_MEC</v>
      </c>
      <c r="G514" s="180">
        <f>VLOOKUP(F514,Volumenes!$D$20:$F$222,3,FALSE)</f>
        <v>63</v>
      </c>
      <c r="H514" s="97"/>
      <c r="I514" s="98">
        <f>10/60</f>
        <v>0.16666666666666666</v>
      </c>
      <c r="J514" s="110">
        <f>+I514*(1+Tiempos!$C$17)</f>
        <v>0.17541666666666667</v>
      </c>
      <c r="K514" s="98">
        <f>+J514*G514</f>
        <v>11.05125</v>
      </c>
      <c r="L514" s="98">
        <f>+K514/Tiempos!$B$11</f>
        <v>2.4024456521739131E-2</v>
      </c>
      <c r="M514" s="261"/>
      <c r="N514" s="238"/>
      <c r="O514" s="238"/>
      <c r="P514" s="238"/>
      <c r="Q514" s="261"/>
    </row>
    <row r="515" spans="1:17" x14ac:dyDescent="0.35">
      <c r="A515" s="81"/>
      <c r="B515" s="81">
        <v>2</v>
      </c>
      <c r="C515" s="83">
        <v>1</v>
      </c>
      <c r="D515" s="83" t="s">
        <v>69</v>
      </c>
      <c r="E515" s="99" t="s">
        <v>847</v>
      </c>
      <c r="F515" s="391" t="str">
        <f>+Volumenes!D215</f>
        <v>ENV_MEC</v>
      </c>
      <c r="G515" s="180">
        <f>VLOOKUP(F515,Volumenes!$D$20:$F$222,3,FALSE)</f>
        <v>63</v>
      </c>
      <c r="H515" s="97"/>
      <c r="I515" s="98">
        <f>20/60</f>
        <v>0.33333333333333331</v>
      </c>
      <c r="J515" s="110">
        <f>+I515*(1+Tiempos!$C$17)</f>
        <v>0.35083333333333333</v>
      </c>
      <c r="K515" s="98">
        <f t="shared" ref="K515" si="104">+J515*G515</f>
        <v>22.102499999999999</v>
      </c>
      <c r="L515" s="98">
        <f>+K515/Tiempos!$B$11</f>
        <v>4.8048913043478261E-2</v>
      </c>
      <c r="M515" s="261">
        <f>+K515/Tiempos!B12</f>
        <v>2.4024456521739131E-2</v>
      </c>
      <c r="N515" s="238"/>
      <c r="O515" s="238"/>
      <c r="P515" s="238"/>
      <c r="Q515" s="261"/>
    </row>
    <row r="516" spans="1:17" x14ac:dyDescent="0.35">
      <c r="A516" s="81"/>
      <c r="B516" s="81">
        <v>2</v>
      </c>
      <c r="C516" s="83">
        <v>1</v>
      </c>
      <c r="D516" s="83" t="s">
        <v>69</v>
      </c>
      <c r="E516" s="99" t="s">
        <v>846</v>
      </c>
      <c r="F516" s="391" t="str">
        <f>+Volumenes!D216</f>
        <v>CAR_ENV</v>
      </c>
      <c r="G516" s="180">
        <f>VLOOKUP(F516,Volumenes!$D$20:$F$222,3,FALSE)</f>
        <v>15.75</v>
      </c>
      <c r="H516" s="97"/>
      <c r="I516" s="98">
        <f>8/60</f>
        <v>0.13333333333333333</v>
      </c>
      <c r="J516" s="110">
        <f>+I516*(1+Tiempos!$C$17)</f>
        <v>0.14033333333333334</v>
      </c>
      <c r="K516" s="98">
        <f>+J516*G516</f>
        <v>2.2102500000000003</v>
      </c>
      <c r="L516" s="98">
        <f>+K516/Tiempos!$B$11</f>
        <v>4.8048913043478268E-3</v>
      </c>
      <c r="M516" s="261"/>
      <c r="N516" s="238"/>
      <c r="O516" s="238"/>
      <c r="P516" s="238"/>
      <c r="Q516" s="261"/>
    </row>
    <row r="517" spans="1:17" x14ac:dyDescent="0.35">
      <c r="A517" s="92"/>
      <c r="B517" s="92">
        <v>2</v>
      </c>
      <c r="C517" s="100">
        <v>1</v>
      </c>
      <c r="D517" s="100" t="s">
        <v>69</v>
      </c>
      <c r="E517" s="101" t="s">
        <v>926</v>
      </c>
      <c r="F517" s="393" t="str">
        <f>+F516</f>
        <v>CAR_ENV</v>
      </c>
      <c r="G517" s="155">
        <f>+G516</f>
        <v>15.75</v>
      </c>
      <c r="H517" s="102">
        <v>20</v>
      </c>
      <c r="I517" s="103">
        <f>+(H517/Tiempos!B29)/60</f>
        <v>0.17094017094017094</v>
      </c>
      <c r="J517" s="111">
        <f>+I517*(1+Tiempos!$C$17)</f>
        <v>0.17991452991452991</v>
      </c>
      <c r="K517" s="103">
        <f>+J517*G517</f>
        <v>2.8336538461538461</v>
      </c>
      <c r="L517" s="103">
        <f>+K517/Tiempos!$B$11</f>
        <v>6.160117056856187E-3</v>
      </c>
      <c r="M517" s="262"/>
      <c r="N517" s="243"/>
      <c r="O517" s="243"/>
      <c r="P517" s="243"/>
      <c r="Q517" s="262"/>
    </row>
    <row r="518" spans="1:17" x14ac:dyDescent="0.35">
      <c r="A518" s="75"/>
      <c r="B518" s="75"/>
      <c r="E518" s="104"/>
      <c r="F518" s="75"/>
      <c r="G518" s="108"/>
      <c r="H518" s="105"/>
      <c r="I518" s="106"/>
      <c r="J518" s="107"/>
      <c r="K518" s="109"/>
      <c r="L518" s="308">
        <f>SUM(L512:L517)</f>
        <v>0.34010006270903004</v>
      </c>
      <c r="M518" s="308">
        <f>SUM(M512:M516)</f>
        <v>2.4024456521739131E-2</v>
      </c>
      <c r="N518" s="437"/>
      <c r="O518" s="437"/>
      <c r="P518" s="437"/>
      <c r="Q518" s="437"/>
    </row>
    <row r="519" spans="1:17" x14ac:dyDescent="0.35">
      <c r="A519" s="75"/>
      <c r="B519" s="75"/>
      <c r="E519" s="104"/>
      <c r="F519" s="75"/>
      <c r="G519" s="108"/>
      <c r="H519" s="105"/>
      <c r="I519" s="106"/>
      <c r="J519" s="107"/>
      <c r="K519" s="109"/>
      <c r="L519" s="109"/>
      <c r="M519" s="109"/>
      <c r="N519" s="249"/>
      <c r="O519" s="249"/>
      <c r="P519" s="249"/>
      <c r="Q519" s="249"/>
    </row>
    <row r="520" spans="1:17" ht="13.15" x14ac:dyDescent="0.4">
      <c r="A520" s="84" t="s">
        <v>853</v>
      </c>
      <c r="B520" s="84"/>
      <c r="C520" s="70"/>
      <c r="D520" s="70"/>
      <c r="E520" s="94"/>
      <c r="F520" s="80"/>
      <c r="G520" s="80"/>
      <c r="H520" s="80"/>
      <c r="I520" s="80"/>
      <c r="J520" s="80"/>
      <c r="K520" s="80"/>
      <c r="L520" s="80"/>
    </row>
    <row r="521" spans="1:17" x14ac:dyDescent="0.35">
      <c r="A521" s="92"/>
      <c r="B521" s="92">
        <v>2</v>
      </c>
      <c r="C521" s="100">
        <v>1</v>
      </c>
      <c r="D521" s="100" t="s">
        <v>69</v>
      </c>
      <c r="E521" s="101" t="s">
        <v>826</v>
      </c>
      <c r="F521" s="393" t="str">
        <f>+Volumenes!D216</f>
        <v>CAR_ENV</v>
      </c>
      <c r="G521" s="155">
        <f>VLOOKUP(F521,Volumenes!$D$20:$F$222,3,FALSE)</f>
        <v>15.75</v>
      </c>
      <c r="H521" s="102">
        <f>VLOOKUP(F521,Tiempos!$D$42:$F$228,2,FALSE)</f>
        <v>115</v>
      </c>
      <c r="I521" s="103">
        <f>VLOOKUP(F521,Tiempos!$D$42:$F$117,3,FALSE)</f>
        <v>0.98290598290598297</v>
      </c>
      <c r="J521" s="111">
        <f>+I521*(1+Tiempos!$C$17)</f>
        <v>1.0345085470085471</v>
      </c>
      <c r="K521" s="103">
        <f t="shared" ref="K521:K524" si="105">+J521*G521</f>
        <v>16.293509615384618</v>
      </c>
      <c r="L521" s="103">
        <f>+K521/Tiempos!$B$11</f>
        <v>3.5420673076923086E-2</v>
      </c>
      <c r="M521" s="262">
        <f>+K521/Tiempos!$B$12</f>
        <v>1.7710336538461543E-2</v>
      </c>
      <c r="N521" s="243"/>
      <c r="O521" s="243"/>
      <c r="P521" s="243"/>
      <c r="Q521" s="262"/>
    </row>
    <row r="522" spans="1:17" x14ac:dyDescent="0.35">
      <c r="A522" s="81"/>
      <c r="B522" s="81">
        <v>2</v>
      </c>
      <c r="C522" s="83">
        <v>1</v>
      </c>
      <c r="D522" s="83" t="s">
        <v>69</v>
      </c>
      <c r="E522" s="99" t="s">
        <v>824</v>
      </c>
      <c r="F522" s="391" t="str">
        <f>+F521</f>
        <v>CAR_ENV</v>
      </c>
      <c r="G522" s="180">
        <f>VLOOKUP(F522,Volumenes!$D$20:$F$222,3,FALSE)</f>
        <v>15.75</v>
      </c>
      <c r="H522" s="97"/>
      <c r="I522" s="98">
        <f>15/60</f>
        <v>0.25</v>
      </c>
      <c r="J522" s="110">
        <f>+I522*(1+Tiempos!$C$17)</f>
        <v>0.263125</v>
      </c>
      <c r="K522" s="98">
        <f t="shared" ref="K522:K523" si="106">+J522*G522</f>
        <v>4.1442187500000003</v>
      </c>
      <c r="L522" s="98">
        <f>+K522/Tiempos!$B$11</f>
        <v>9.0091711956521749E-3</v>
      </c>
      <c r="M522" s="261">
        <f>+K522/Tiempos!$B$12</f>
        <v>4.5045855978260874E-3</v>
      </c>
      <c r="N522" s="238"/>
      <c r="O522" s="238"/>
      <c r="P522" s="238"/>
      <c r="Q522" s="261"/>
    </row>
    <row r="523" spans="1:17" x14ac:dyDescent="0.35">
      <c r="A523" s="81"/>
      <c r="B523" s="81">
        <v>2</v>
      </c>
      <c r="C523" s="83">
        <v>1</v>
      </c>
      <c r="D523" s="83" t="s">
        <v>69</v>
      </c>
      <c r="E523" s="99" t="s">
        <v>828</v>
      </c>
      <c r="F523" s="391" t="str">
        <f>+F522</f>
        <v>CAR_ENV</v>
      </c>
      <c r="G523" s="180">
        <f>VLOOKUP(F523,Volumenes!$D$20:$F$222,3,FALSE)</f>
        <v>15.75</v>
      </c>
      <c r="H523" s="97"/>
      <c r="I523" s="98">
        <f>15/60</f>
        <v>0.25</v>
      </c>
      <c r="J523" s="110">
        <f>+I523*(1+Tiempos!$C$17)</f>
        <v>0.263125</v>
      </c>
      <c r="K523" s="98">
        <f t="shared" si="106"/>
        <v>4.1442187500000003</v>
      </c>
      <c r="L523" s="98">
        <f>+K523/Tiempos!$B$11</f>
        <v>9.0091711956521749E-3</v>
      </c>
      <c r="M523" s="261">
        <f>+K523/Tiempos!$B$12</f>
        <v>4.5045855978260874E-3</v>
      </c>
      <c r="N523" s="238"/>
      <c r="O523" s="238"/>
      <c r="P523" s="238"/>
      <c r="Q523" s="261"/>
    </row>
    <row r="524" spans="1:17" x14ac:dyDescent="0.35">
      <c r="A524" s="81"/>
      <c r="B524" s="81">
        <v>2</v>
      </c>
      <c r="C524" s="83">
        <v>1</v>
      </c>
      <c r="D524" s="83" t="s">
        <v>69</v>
      </c>
      <c r="E524" s="99" t="s">
        <v>825</v>
      </c>
      <c r="F524" s="391" t="str">
        <f>+F523</f>
        <v>CAR_ENV</v>
      </c>
      <c r="G524" s="180">
        <f>VLOOKUP(F524,Volumenes!$D$20:$F$222,3,FALSE)</f>
        <v>15.75</v>
      </c>
      <c r="H524" s="97"/>
      <c r="I524" s="98">
        <f>15/60</f>
        <v>0.25</v>
      </c>
      <c r="J524" s="110">
        <f>+I524*(1+Tiempos!$C$17)</f>
        <v>0.263125</v>
      </c>
      <c r="K524" s="98">
        <f t="shared" si="105"/>
        <v>4.1442187500000003</v>
      </c>
      <c r="L524" s="98">
        <f>+K524/Tiempos!$B$11</f>
        <v>9.0091711956521749E-3</v>
      </c>
      <c r="M524" s="261">
        <f>+K524/Tiempos!$B$12</f>
        <v>4.5045855978260874E-3</v>
      </c>
      <c r="N524" s="238"/>
      <c r="O524" s="238"/>
      <c r="P524" s="238"/>
      <c r="Q524" s="261"/>
    </row>
    <row r="525" spans="1:17" x14ac:dyDescent="0.35">
      <c r="A525" s="92"/>
      <c r="B525" s="92">
        <v>2</v>
      </c>
      <c r="C525" s="100">
        <v>1</v>
      </c>
      <c r="D525" s="100" t="s">
        <v>69</v>
      </c>
      <c r="E525" s="101" t="s">
        <v>818</v>
      </c>
      <c r="F525" s="393" t="str">
        <f>+F524</f>
        <v>CAR_ENV</v>
      </c>
      <c r="G525" s="155">
        <f>VLOOKUP(F525,Volumenes!$D$20:$F$222,3,FALSE)</f>
        <v>15.75</v>
      </c>
      <c r="H525" s="102">
        <f>VLOOKUP(F525,Tiempos!$D$42:$F$228,2,FALSE)</f>
        <v>115</v>
      </c>
      <c r="I525" s="103">
        <f>(H525/Tiempos!$B$29)/60</f>
        <v>0.98290598290598297</v>
      </c>
      <c r="J525" s="111">
        <f>+I525*(1+Tiempos!$C$17)</f>
        <v>1.0345085470085471</v>
      </c>
      <c r="K525" s="103">
        <f>+J525*G525</f>
        <v>16.293509615384618</v>
      </c>
      <c r="L525" s="103">
        <f>+K525/Tiempos!$B$11</f>
        <v>3.5420673076923086E-2</v>
      </c>
      <c r="M525" s="262">
        <f>+K525/Tiempos!$B$12</f>
        <v>1.7710336538461543E-2</v>
      </c>
      <c r="N525" s="243"/>
      <c r="O525" s="243"/>
      <c r="P525" s="243"/>
      <c r="Q525" s="262"/>
    </row>
    <row r="526" spans="1:17" x14ac:dyDescent="0.35">
      <c r="A526" s="81"/>
      <c r="B526" s="81">
        <v>2</v>
      </c>
      <c r="C526" s="83">
        <v>1</v>
      </c>
      <c r="D526" s="83" t="s">
        <v>69</v>
      </c>
      <c r="E526" s="99" t="s">
        <v>828</v>
      </c>
      <c r="F526" s="391" t="str">
        <f>+F525</f>
        <v>CAR_ENV</v>
      </c>
      <c r="G526" s="180">
        <f>VLOOKUP(F526,Volumenes!$D$20:$F$222,3,FALSE)</f>
        <v>15.75</v>
      </c>
      <c r="H526" s="97"/>
      <c r="I526" s="98">
        <f>25/60</f>
        <v>0.41666666666666669</v>
      </c>
      <c r="J526" s="110">
        <f>+I526*(1+Tiempos!$C$17)</f>
        <v>0.43854166666666666</v>
      </c>
      <c r="K526" s="98">
        <f t="shared" ref="K526" si="107">+J526*G526</f>
        <v>6.9070312500000002</v>
      </c>
      <c r="L526" s="98">
        <f>+K526/Tiempos!$B$11</f>
        <v>1.5015285326086958E-2</v>
      </c>
      <c r="M526" s="261">
        <f>+K526/Tiempos!$B$12</f>
        <v>7.5076426630434788E-3</v>
      </c>
      <c r="N526" s="238"/>
      <c r="O526" s="238"/>
      <c r="P526" s="238"/>
      <c r="Q526" s="261"/>
    </row>
    <row r="527" spans="1:17" x14ac:dyDescent="0.35">
      <c r="A527" s="75"/>
      <c r="B527" s="75"/>
      <c r="E527" s="104"/>
      <c r="F527" s="75"/>
      <c r="G527" s="108"/>
      <c r="H527" s="105"/>
      <c r="I527" s="106"/>
      <c r="J527" s="107"/>
      <c r="K527" s="109"/>
      <c r="L527" s="308">
        <f>SUM(L521:L526)</f>
        <v>0.11288414506688965</v>
      </c>
      <c r="M527" s="308">
        <f>SUM(M521:M526)</f>
        <v>5.6442072533444826E-2</v>
      </c>
      <c r="N527" s="437"/>
      <c r="O527" s="437"/>
      <c r="P527" s="437"/>
      <c r="Q527" s="437"/>
    </row>
    <row r="528" spans="1:17" x14ac:dyDescent="0.35">
      <c r="A528" s="75"/>
      <c r="B528" s="75"/>
      <c r="E528" s="104"/>
      <c r="F528" s="75"/>
      <c r="G528" s="108"/>
      <c r="H528" s="105"/>
      <c r="I528" s="106"/>
      <c r="J528" s="107"/>
      <c r="K528" s="109"/>
      <c r="L528" s="109"/>
      <c r="M528" s="109"/>
      <c r="N528" s="249"/>
      <c r="O528" s="249"/>
      <c r="P528" s="249"/>
      <c r="Q528" s="249"/>
    </row>
    <row r="529" spans="1:17" ht="13.15" x14ac:dyDescent="0.4">
      <c r="A529" s="84" t="s">
        <v>1097</v>
      </c>
      <c r="B529" s="84"/>
      <c r="C529" s="70"/>
      <c r="D529" s="70"/>
      <c r="E529" s="94"/>
      <c r="F529" s="80"/>
      <c r="G529" s="80"/>
      <c r="H529" s="80"/>
      <c r="I529" s="80"/>
      <c r="J529" s="80"/>
      <c r="K529" s="80"/>
      <c r="L529" s="80"/>
    </row>
    <row r="530" spans="1:17" x14ac:dyDescent="0.35">
      <c r="A530" s="81"/>
      <c r="B530" s="81">
        <v>2</v>
      </c>
      <c r="C530" s="83">
        <v>1</v>
      </c>
      <c r="D530" s="83" t="s">
        <v>69</v>
      </c>
      <c r="E530" s="99" t="s">
        <v>834</v>
      </c>
      <c r="F530" s="391" t="str">
        <f>+Volumenes!D219</f>
        <v>TUB_PT</v>
      </c>
      <c r="G530" s="180">
        <f>VLOOKUP(F530,Volumenes!$D$20:$F$222,3,FALSE)</f>
        <v>10</v>
      </c>
      <c r="H530" s="97"/>
      <c r="I530" s="98">
        <f>15/60</f>
        <v>0.25</v>
      </c>
      <c r="J530" s="110">
        <f>+I530*(1+Tiempos!$C$17)</f>
        <v>0.263125</v>
      </c>
      <c r="K530" s="98">
        <f t="shared" ref="K530:K535" si="108">+J530*G530</f>
        <v>2.6312500000000001</v>
      </c>
      <c r="L530" s="98">
        <f>+K530/Tiempos!$B$11</f>
        <v>5.7201086956521737E-3</v>
      </c>
      <c r="M530" s="261">
        <f>+K530/Tiempos!$B$12</f>
        <v>2.8600543478260868E-3</v>
      </c>
      <c r="N530" s="238"/>
      <c r="O530" s="238"/>
      <c r="P530" s="238"/>
      <c r="Q530" s="261"/>
    </row>
    <row r="531" spans="1:17" x14ac:dyDescent="0.35">
      <c r="A531" s="92"/>
      <c r="B531" s="92">
        <v>2</v>
      </c>
      <c r="C531" s="100">
        <v>1</v>
      </c>
      <c r="D531" s="100" t="s">
        <v>69</v>
      </c>
      <c r="E531" s="101" t="s">
        <v>835</v>
      </c>
      <c r="F531" s="393" t="str">
        <f>+F530</f>
        <v>TUB_PT</v>
      </c>
      <c r="G531" s="155">
        <f>VLOOKUP(F531,Volumenes!$D$20:$F$222,3,FALSE)</f>
        <v>10</v>
      </c>
      <c r="H531" s="102">
        <f>VLOOKUP(F531,Tiempos!$D$42:$F$228,2,FALSE)</f>
        <v>92</v>
      </c>
      <c r="I531" s="103">
        <f>VLOOKUP(F531,Tiempos!$D$42:$F$117,3,FALSE)</f>
        <v>0.78632478632478642</v>
      </c>
      <c r="J531" s="111">
        <f>+I531*(1+Tiempos!$C$17)</f>
        <v>0.82760683760683773</v>
      </c>
      <c r="K531" s="103">
        <f t="shared" ref="K531" si="109">+J531*G531</f>
        <v>8.2760683760683769</v>
      </c>
      <c r="L531" s="103">
        <f>+K531/Tiempos!$B$11</f>
        <v>1.7991452991452994E-2</v>
      </c>
      <c r="M531" s="262">
        <f>+K531/Tiempos!$B$12</f>
        <v>8.9957264957264971E-3</v>
      </c>
      <c r="N531" s="243"/>
      <c r="O531" s="243"/>
      <c r="P531" s="243"/>
      <c r="Q531" s="262"/>
    </row>
    <row r="532" spans="1:17" x14ac:dyDescent="0.35">
      <c r="A532" s="81"/>
      <c r="B532" s="81">
        <v>2</v>
      </c>
      <c r="C532" s="83">
        <v>1</v>
      </c>
      <c r="D532" s="83" t="s">
        <v>69</v>
      </c>
      <c r="E532" s="99" t="s">
        <v>836</v>
      </c>
      <c r="F532" s="391" t="str">
        <f>+F531</f>
        <v>TUB_PT</v>
      </c>
      <c r="G532" s="180">
        <f>VLOOKUP(F532,Volumenes!$D$20:$F$222,3,FALSE)</f>
        <v>10</v>
      </c>
      <c r="H532" s="97"/>
      <c r="I532" s="98">
        <f t="shared" ref="I532:I533" si="110">15/60</f>
        <v>0.25</v>
      </c>
      <c r="J532" s="110">
        <f>+I532*(1+Tiempos!$C$17)</f>
        <v>0.263125</v>
      </c>
      <c r="K532" s="98">
        <f t="shared" ref="K532:K533" si="111">+J532*G532</f>
        <v>2.6312500000000001</v>
      </c>
      <c r="L532" s="98">
        <f>+K532/Tiempos!$B$11</f>
        <v>5.7201086956521737E-3</v>
      </c>
      <c r="M532" s="261">
        <f>+K532/Tiempos!$B$12</f>
        <v>2.8600543478260868E-3</v>
      </c>
      <c r="N532" s="238"/>
      <c r="O532" s="238"/>
      <c r="P532" s="238"/>
      <c r="Q532" s="261"/>
    </row>
    <row r="533" spans="1:17" x14ac:dyDescent="0.35">
      <c r="A533" s="81"/>
      <c r="B533" s="81">
        <v>2</v>
      </c>
      <c r="C533" s="83">
        <v>1</v>
      </c>
      <c r="D533" s="83" t="s">
        <v>69</v>
      </c>
      <c r="E533" s="99" t="s">
        <v>834</v>
      </c>
      <c r="F533" s="391" t="str">
        <f>+Volumenes!D218</f>
        <v>TUB_SAN</v>
      </c>
      <c r="G533" s="180">
        <f>VLOOKUP(F533,Volumenes!$D$20:$F$222,3,FALSE)</f>
        <v>9</v>
      </c>
      <c r="H533" s="97"/>
      <c r="I533" s="98">
        <f t="shared" si="110"/>
        <v>0.25</v>
      </c>
      <c r="J533" s="110">
        <f>+I533*(1+Tiempos!$C$17)</f>
        <v>0.263125</v>
      </c>
      <c r="K533" s="98">
        <f t="shared" si="111"/>
        <v>2.368125</v>
      </c>
      <c r="L533" s="98">
        <f>+K533/Tiempos!$B$11</f>
        <v>5.1480978260869566E-3</v>
      </c>
      <c r="M533" s="261">
        <f>+K533/Tiempos!$B$12</f>
        <v>2.5740489130434783E-3</v>
      </c>
      <c r="N533" s="238"/>
      <c r="O533" s="238"/>
      <c r="P533" s="238"/>
      <c r="Q533" s="261"/>
    </row>
    <row r="534" spans="1:17" x14ac:dyDescent="0.35">
      <c r="A534" s="92"/>
      <c r="B534" s="92">
        <v>2</v>
      </c>
      <c r="C534" s="100">
        <v>1</v>
      </c>
      <c r="D534" s="100" t="s">
        <v>69</v>
      </c>
      <c r="E534" s="101" t="s">
        <v>837</v>
      </c>
      <c r="F534" s="393" t="str">
        <f>+F533</f>
        <v>TUB_SAN</v>
      </c>
      <c r="G534" s="155">
        <f>VLOOKUP(F534,Volumenes!$D$20:$F$222,3,FALSE)</f>
        <v>9</v>
      </c>
      <c r="H534" s="102">
        <f>VLOOKUP(F534,Tiempos!$D$42:$F$228,2,FALSE)</f>
        <v>150</v>
      </c>
      <c r="I534" s="103">
        <f>VLOOKUP(F534,Tiempos!$D$42:$F$117,3,FALSE)</f>
        <v>1.2820512820512819</v>
      </c>
      <c r="J534" s="111">
        <f>+I534*(1+Tiempos!$C$17)</f>
        <v>1.3493589743589742</v>
      </c>
      <c r="K534" s="103">
        <f t="shared" si="108"/>
        <v>12.144230769230768</v>
      </c>
      <c r="L534" s="103">
        <f>+K534/Tiempos!$B$11</f>
        <v>2.6400501672240801E-2</v>
      </c>
      <c r="M534" s="262">
        <f>+K534/Tiempos!$B$12</f>
        <v>1.3200250836120401E-2</v>
      </c>
      <c r="N534" s="243"/>
      <c r="O534" s="243"/>
      <c r="P534" s="243"/>
      <c r="Q534" s="262"/>
    </row>
    <row r="535" spans="1:17" x14ac:dyDescent="0.35">
      <c r="A535" s="81"/>
      <c r="B535" s="81">
        <v>2</v>
      </c>
      <c r="C535" s="83">
        <v>1</v>
      </c>
      <c r="D535" s="83" t="s">
        <v>69</v>
      </c>
      <c r="E535" s="99" t="s">
        <v>838</v>
      </c>
      <c r="F535" s="391" t="str">
        <f>+F534</f>
        <v>TUB_SAN</v>
      </c>
      <c r="G535" s="180">
        <f>VLOOKUP(F535,Volumenes!$D$20:$F$222,3,FALSE)</f>
        <v>9</v>
      </c>
      <c r="H535" s="97"/>
      <c r="I535" s="98">
        <f>15/60</f>
        <v>0.25</v>
      </c>
      <c r="J535" s="110">
        <f>+I535*(1+Tiempos!$C$17)</f>
        <v>0.263125</v>
      </c>
      <c r="K535" s="98">
        <f t="shared" si="108"/>
        <v>2.368125</v>
      </c>
      <c r="L535" s="98">
        <f>+K535/Tiempos!$B$11</f>
        <v>5.1480978260869566E-3</v>
      </c>
      <c r="M535" s="261">
        <f>+K535/Tiempos!$B$12</f>
        <v>2.5740489130434783E-3</v>
      </c>
      <c r="N535" s="238"/>
      <c r="O535" s="238"/>
      <c r="P535" s="238"/>
      <c r="Q535" s="261"/>
    </row>
    <row r="536" spans="1:17" x14ac:dyDescent="0.35">
      <c r="A536" s="75"/>
      <c r="B536" s="75"/>
      <c r="E536" s="104"/>
      <c r="F536" s="75"/>
      <c r="G536" s="108"/>
      <c r="H536" s="105"/>
      <c r="I536" s="106"/>
      <c r="J536" s="107"/>
      <c r="K536" s="109"/>
      <c r="L536" s="308">
        <f>SUM(L530:L535)</f>
        <v>6.612836770717205E-2</v>
      </c>
      <c r="M536" s="308">
        <f>SUM(M530:M535)</f>
        <v>3.3064183853586025E-2</v>
      </c>
      <c r="N536" s="437"/>
      <c r="O536" s="437"/>
      <c r="P536" s="437"/>
      <c r="Q536" s="437"/>
    </row>
    <row r="537" spans="1:17" x14ac:dyDescent="0.35">
      <c r="A537" s="75"/>
      <c r="B537" s="75"/>
      <c r="E537" s="104"/>
      <c r="F537" s="75"/>
      <c r="G537" s="108"/>
      <c r="H537" s="105"/>
      <c r="I537" s="106"/>
      <c r="J537" s="107"/>
      <c r="K537" s="109"/>
      <c r="L537" s="109"/>
      <c r="M537" s="109"/>
      <c r="N537" s="249"/>
      <c r="O537" s="249"/>
      <c r="P537" s="249"/>
      <c r="Q537" s="249"/>
    </row>
    <row r="538" spans="1:17" ht="13.15" x14ac:dyDescent="0.4">
      <c r="A538" s="84" t="s">
        <v>857</v>
      </c>
      <c r="B538" s="84"/>
      <c r="C538" s="70"/>
      <c r="D538" s="70"/>
      <c r="E538" s="94"/>
      <c r="F538" s="80"/>
      <c r="G538" s="80"/>
      <c r="H538" s="80"/>
      <c r="I538" s="80"/>
      <c r="J538" s="80"/>
      <c r="K538" s="80"/>
      <c r="L538" s="80"/>
    </row>
    <row r="539" spans="1:17" x14ac:dyDescent="0.35">
      <c r="A539" s="81"/>
      <c r="B539" s="81">
        <v>2</v>
      </c>
      <c r="C539" s="83">
        <v>1</v>
      </c>
      <c r="D539" s="83" t="s">
        <v>69</v>
      </c>
      <c r="E539" s="99" t="s">
        <v>858</v>
      </c>
      <c r="F539" s="391" t="str">
        <f>+Volumenes!D43</f>
        <v>CHA_MUL_3D</v>
      </c>
      <c r="G539" s="180">
        <f>VLOOKUP(F539,Volumenes!$D$20:$F$222,3,FALSE)</f>
        <v>35.086257962610034</v>
      </c>
      <c r="H539" s="97"/>
      <c r="I539" s="98">
        <f>50/60</f>
        <v>0.83333333333333337</v>
      </c>
      <c r="J539" s="110">
        <f>+I539*(1+Tiempos!$C$17)</f>
        <v>0.87708333333333333</v>
      </c>
      <c r="K539" s="98">
        <f t="shared" ref="K539:K543" si="112">+J539*G539</f>
        <v>30.773572088039217</v>
      </c>
      <c r="L539" s="98">
        <f>+K539/Tiempos!$B$11</f>
        <v>6.6899069756606991E-2</v>
      </c>
      <c r="M539" s="261"/>
      <c r="N539" s="238"/>
      <c r="O539" s="261">
        <f>+K539/Tiempos!$B$12</f>
        <v>3.3449534878303495E-2</v>
      </c>
      <c r="P539" s="238"/>
      <c r="Q539" s="261"/>
    </row>
    <row r="540" spans="1:17" x14ac:dyDescent="0.35">
      <c r="A540" s="81"/>
      <c r="B540" s="81">
        <v>2</v>
      </c>
      <c r="C540" s="83">
        <v>1</v>
      </c>
      <c r="D540" s="83" t="s">
        <v>69</v>
      </c>
      <c r="E540" s="99" t="s">
        <v>859</v>
      </c>
      <c r="F540" s="391" t="str">
        <f>+F539</f>
        <v>CHA_MUL_3D</v>
      </c>
      <c r="G540" s="180">
        <f>VLOOKUP(F540,Volumenes!$D$20:$F$222,3,FALSE)</f>
        <v>35.086257962610034</v>
      </c>
      <c r="H540" s="97"/>
      <c r="I540" s="98">
        <f>10/60</f>
        <v>0.16666666666666666</v>
      </c>
      <c r="J540" s="110">
        <f>+I540*(1+Tiempos!$C$17)</f>
        <v>0.17541666666666667</v>
      </c>
      <c r="K540" s="98">
        <f t="shared" ref="K540" si="113">+J540*G540</f>
        <v>6.1547144176078437</v>
      </c>
      <c r="L540" s="98">
        <f>+K540/Tiempos!$B$11</f>
        <v>1.3379813951321399E-2</v>
      </c>
      <c r="M540" s="261"/>
      <c r="N540" s="238"/>
      <c r="O540" s="443">
        <f>+K540/Tiempos!$B$12</f>
        <v>6.6899069756606996E-3</v>
      </c>
      <c r="P540" s="238"/>
      <c r="Q540" s="261"/>
    </row>
    <row r="541" spans="1:17" x14ac:dyDescent="0.35">
      <c r="A541" s="92"/>
      <c r="B541" s="92">
        <v>2</v>
      </c>
      <c r="C541" s="100">
        <v>1</v>
      </c>
      <c r="D541" s="100" t="s">
        <v>69</v>
      </c>
      <c r="E541" s="101" t="s">
        <v>861</v>
      </c>
      <c r="F541" s="393" t="str">
        <f>+F539</f>
        <v>CHA_MUL_3D</v>
      </c>
      <c r="G541" s="155">
        <f>VLOOKUP(F541,Volumenes!$D$20:$F$222,3,FALSE)</f>
        <v>35.086257962610034</v>
      </c>
      <c r="H541" s="102">
        <v>90</v>
      </c>
      <c r="I541" s="103">
        <f>(H541/Tiempos!$B$29)/60</f>
        <v>0.76923076923076927</v>
      </c>
      <c r="J541" s="111">
        <f>+I541*(1+Tiempos!$C$17)</f>
        <v>0.80961538461538463</v>
      </c>
      <c r="K541" s="103">
        <f t="shared" si="112"/>
        <v>28.406374235113123</v>
      </c>
      <c r="L541" s="103">
        <f>+K541/Tiempos!$B$11</f>
        <v>6.1752987467637223E-2</v>
      </c>
      <c r="M541" s="262"/>
      <c r="N541" s="243"/>
      <c r="O541" s="444">
        <f>+K541/Tiempos!$B$12</f>
        <v>3.0876493733818611E-2</v>
      </c>
      <c r="P541" s="243"/>
      <c r="Q541" s="262"/>
    </row>
    <row r="542" spans="1:17" x14ac:dyDescent="0.35">
      <c r="A542" s="81"/>
      <c r="B542" s="81">
        <v>2</v>
      </c>
      <c r="C542" s="83">
        <v>1</v>
      </c>
      <c r="D542" s="83" t="s">
        <v>69</v>
      </c>
      <c r="E542" s="99" t="s">
        <v>860</v>
      </c>
      <c r="F542" s="391" t="str">
        <f>+F541</f>
        <v>CHA_MUL_3D</v>
      </c>
      <c r="G542" s="180">
        <f>VLOOKUP(F542,Volumenes!$D$20:$F$222,3,FALSE)</f>
        <v>35.086257962610034</v>
      </c>
      <c r="H542" s="97"/>
      <c r="I542" s="98">
        <f>25/60</f>
        <v>0.41666666666666669</v>
      </c>
      <c r="J542" s="110">
        <f>+I542*(1+Tiempos!$C$17)</f>
        <v>0.43854166666666666</v>
      </c>
      <c r="K542" s="98">
        <f t="shared" si="112"/>
        <v>15.386786044019608</v>
      </c>
      <c r="L542" s="98">
        <f>+K542/Tiempos!$B$11</f>
        <v>3.3449534878303495E-2</v>
      </c>
      <c r="M542" s="261"/>
      <c r="N542" s="238"/>
      <c r="O542" s="443">
        <f>+K542/Tiempos!$B$12</f>
        <v>1.6724767439151748E-2</v>
      </c>
      <c r="P542" s="238"/>
      <c r="Q542" s="261"/>
    </row>
    <row r="543" spans="1:17" x14ac:dyDescent="0.35">
      <c r="A543" s="81"/>
      <c r="B543" s="81">
        <v>2</v>
      </c>
      <c r="C543" s="83">
        <v>1</v>
      </c>
      <c r="D543" s="83" t="s">
        <v>69</v>
      </c>
      <c r="E543" s="99" t="s">
        <v>862</v>
      </c>
      <c r="F543" s="391" t="str">
        <f>+F542</f>
        <v>CHA_MUL_3D</v>
      </c>
      <c r="G543" s="180">
        <f>VLOOKUP(F543,Volumenes!$D$20:$F$222,3,FALSE)</f>
        <v>35.086257962610034</v>
      </c>
      <c r="H543" s="97"/>
      <c r="I543" s="98">
        <f>25/60</f>
        <v>0.41666666666666669</v>
      </c>
      <c r="J543" s="110">
        <f>+I543*(1+Tiempos!$C$17)</f>
        <v>0.43854166666666666</v>
      </c>
      <c r="K543" s="98">
        <f t="shared" si="112"/>
        <v>15.386786044019608</v>
      </c>
      <c r="L543" s="98">
        <f>+K543/Tiempos!$B$11</f>
        <v>3.3449534878303495E-2</v>
      </c>
      <c r="M543" s="261"/>
      <c r="N543" s="238"/>
      <c r="O543" s="443">
        <f>+K543/Tiempos!$B$12</f>
        <v>1.6724767439151748E-2</v>
      </c>
      <c r="P543" s="238"/>
      <c r="Q543" s="261"/>
    </row>
    <row r="544" spans="1:17" x14ac:dyDescent="0.35">
      <c r="A544" s="75"/>
      <c r="B544" s="75"/>
      <c r="E544" s="104"/>
      <c r="F544" s="75"/>
      <c r="G544" s="108"/>
      <c r="H544" s="105"/>
      <c r="I544" s="106"/>
      <c r="J544" s="107"/>
      <c r="K544" s="109"/>
      <c r="L544" s="308">
        <f>SUM(L539:L543)</f>
        <v>0.2089309409321726</v>
      </c>
      <c r="M544" s="308"/>
      <c r="N544" s="437"/>
      <c r="O544" s="437">
        <f>SUM(O539:O543)</f>
        <v>0.1044654704660863</v>
      </c>
      <c r="P544" s="437"/>
      <c r="Q544" s="437"/>
    </row>
    <row r="545" spans="1:17" x14ac:dyDescent="0.35">
      <c r="A545" s="75"/>
      <c r="B545" s="75"/>
      <c r="E545" s="104"/>
      <c r="F545" s="75"/>
      <c r="G545" s="108"/>
      <c r="H545" s="105"/>
      <c r="I545" s="106"/>
      <c r="J545" s="107"/>
      <c r="K545" s="109"/>
      <c r="L545" s="109"/>
      <c r="M545" s="109"/>
      <c r="N545" s="249"/>
      <c r="O545" s="249"/>
      <c r="P545" s="249"/>
      <c r="Q545" s="249"/>
    </row>
    <row r="546" spans="1:17" ht="13.15" x14ac:dyDescent="0.4">
      <c r="A546" s="84" t="s">
        <v>927</v>
      </c>
      <c r="B546" s="84"/>
      <c r="C546" s="70"/>
      <c r="D546" s="70"/>
      <c r="E546" s="94"/>
      <c r="F546" s="80"/>
      <c r="G546" s="80"/>
      <c r="H546" s="80"/>
      <c r="I546" s="80"/>
      <c r="J546" s="80"/>
      <c r="K546" s="80"/>
      <c r="L546" s="80"/>
    </row>
    <row r="547" spans="1:17" x14ac:dyDescent="0.35">
      <c r="A547" s="81"/>
      <c r="B547" s="81">
        <v>2</v>
      </c>
      <c r="C547" s="83">
        <v>1</v>
      </c>
      <c r="D547" s="83" t="s">
        <v>69</v>
      </c>
      <c r="E547" s="99" t="s">
        <v>881</v>
      </c>
      <c r="F547" s="391" t="str">
        <f>+Volumenes!D40</f>
        <v>CHA_AUT_VAC</v>
      </c>
      <c r="G547" s="180">
        <f>VLOOKUP(F547,Volumenes!$D$20:$F$222,3,FALSE)</f>
        <v>74.558298170546323</v>
      </c>
      <c r="H547" s="97"/>
      <c r="I547" s="98">
        <f>50/60</f>
        <v>0.83333333333333337</v>
      </c>
      <c r="J547" s="110">
        <f>+I547*(1+Tiempos!$C$17)</f>
        <v>0.87708333333333333</v>
      </c>
      <c r="K547" s="98">
        <f t="shared" ref="K547:K549" si="114">+J547*G547</f>
        <v>65.39384068708334</v>
      </c>
      <c r="L547" s="98">
        <f>+K547/Tiempos!$B$11</f>
        <v>0.14216052323278988</v>
      </c>
      <c r="M547" s="261"/>
      <c r="N547" s="238"/>
      <c r="O547" s="261">
        <f>+K547/Tiempos!$B$12</f>
        <v>7.1080261616394941E-2</v>
      </c>
      <c r="P547" s="238"/>
      <c r="Q547" s="261"/>
    </row>
    <row r="548" spans="1:17" x14ac:dyDescent="0.35">
      <c r="A548" s="92"/>
      <c r="B548" s="92">
        <v>2</v>
      </c>
      <c r="C548" s="100">
        <v>1</v>
      </c>
      <c r="D548" s="100" t="s">
        <v>69</v>
      </c>
      <c r="E548" s="101" t="s">
        <v>882</v>
      </c>
      <c r="F548" s="393" t="str">
        <f>+F547</f>
        <v>CHA_AUT_VAC</v>
      </c>
      <c r="G548" s="155">
        <f>VLOOKUP(F548,Volumenes!$D$20:$F$222,3,FALSE)</f>
        <v>74.558298170546323</v>
      </c>
      <c r="H548" s="102">
        <v>90</v>
      </c>
      <c r="I548" s="103">
        <f>(H548/Tiempos!$B$29)/60</f>
        <v>0.76923076923076927</v>
      </c>
      <c r="J548" s="111">
        <f>+I548*(1+Tiempos!$C$17)</f>
        <v>0.80961538461538463</v>
      </c>
      <c r="K548" s="103">
        <f t="shared" si="114"/>
        <v>60.363545249615392</v>
      </c>
      <c r="L548" s="103">
        <f>+K548/Tiempos!$B$11</f>
        <v>0.13122509836872912</v>
      </c>
      <c r="M548" s="262"/>
      <c r="N548" s="243"/>
      <c r="O548" s="444">
        <f>+K548/Tiempos!$B$12</f>
        <v>6.5612549184364558E-2</v>
      </c>
      <c r="P548" s="243"/>
      <c r="Q548" s="262"/>
    </row>
    <row r="549" spans="1:17" x14ac:dyDescent="0.35">
      <c r="A549" s="81"/>
      <c r="B549" s="81">
        <v>2</v>
      </c>
      <c r="C549" s="83">
        <v>1</v>
      </c>
      <c r="D549" s="83" t="s">
        <v>69</v>
      </c>
      <c r="E549" s="99" t="s">
        <v>883</v>
      </c>
      <c r="F549" s="391" t="str">
        <f>+F548</f>
        <v>CHA_AUT_VAC</v>
      </c>
      <c r="G549" s="180">
        <f>VLOOKUP(F549,Volumenes!$D$20:$F$222,3,FALSE)</f>
        <v>74.558298170546323</v>
      </c>
      <c r="H549" s="97"/>
      <c r="I549" s="98">
        <f>25/60</f>
        <v>0.41666666666666669</v>
      </c>
      <c r="J549" s="110">
        <f>+I549*(1+Tiempos!$C$17)</f>
        <v>0.43854166666666666</v>
      </c>
      <c r="K549" s="98">
        <f t="shared" si="114"/>
        <v>32.69692034354167</v>
      </c>
      <c r="L549" s="98">
        <f>+K549/Tiempos!$B$11</f>
        <v>7.1080261616394941E-2</v>
      </c>
      <c r="M549" s="261"/>
      <c r="N549" s="238"/>
      <c r="O549" s="443">
        <f>+K549/Tiempos!$B$12</f>
        <v>3.554013080819747E-2</v>
      </c>
      <c r="P549" s="238"/>
      <c r="Q549" s="261"/>
    </row>
    <row r="550" spans="1:17" x14ac:dyDescent="0.35">
      <c r="A550" s="75"/>
      <c r="B550" s="75"/>
      <c r="E550" s="104"/>
      <c r="F550" s="75"/>
      <c r="G550" s="108"/>
      <c r="H550" s="105"/>
      <c r="I550" s="106"/>
      <c r="J550" s="107"/>
      <c r="K550" s="109"/>
      <c r="L550" s="308">
        <f>SUM(L547:L549)</f>
        <v>0.34446588321791394</v>
      </c>
      <c r="M550" s="308"/>
      <c r="N550" s="437"/>
      <c r="O550" s="437">
        <f>SUM(O547:O549)</f>
        <v>0.17223294160895697</v>
      </c>
      <c r="P550" s="437"/>
      <c r="Q550" s="437"/>
    </row>
    <row r="551" spans="1:17" x14ac:dyDescent="0.35">
      <c r="A551" s="75"/>
      <c r="B551" s="75"/>
      <c r="E551" s="104"/>
      <c r="F551" s="75"/>
      <c r="G551" s="108"/>
      <c r="H551" s="105"/>
      <c r="I551" s="106"/>
      <c r="J551" s="107"/>
      <c r="K551" s="109"/>
      <c r="L551" s="109"/>
      <c r="M551" s="109"/>
      <c r="N551" s="249"/>
      <c r="O551" s="249"/>
      <c r="P551" s="249"/>
      <c r="Q551" s="249"/>
    </row>
    <row r="552" spans="1:17" ht="13.15" x14ac:dyDescent="0.4">
      <c r="A552" s="84" t="s">
        <v>1080</v>
      </c>
      <c r="B552" s="84"/>
      <c r="C552" s="70"/>
      <c r="D552" s="70"/>
      <c r="E552" s="94"/>
      <c r="F552" s="80"/>
      <c r="G552" s="80"/>
      <c r="H552" s="80"/>
      <c r="I552" s="80"/>
      <c r="J552" s="80"/>
      <c r="K552" s="80"/>
      <c r="L552" s="80"/>
    </row>
    <row r="553" spans="1:17" x14ac:dyDescent="0.35">
      <c r="A553" s="92"/>
      <c r="B553" s="92">
        <v>2</v>
      </c>
      <c r="C553" s="100">
        <v>1</v>
      </c>
      <c r="D553" s="100" t="s">
        <v>69</v>
      </c>
      <c r="E553" s="101" t="s">
        <v>1098</v>
      </c>
      <c r="F553" s="393" t="str">
        <f>+Volumenes!D167</f>
        <v>MAQ_L3</v>
      </c>
      <c r="G553" s="155">
        <f>VLOOKUP(F553,Volumenes!$D$20:$F$222,3,FALSE)</f>
        <v>1</v>
      </c>
      <c r="H553" s="102">
        <v>300</v>
      </c>
      <c r="I553" s="103">
        <f>(H553/Tiempos!$B$29)/60</f>
        <v>2.5641025641025639</v>
      </c>
      <c r="J553" s="111">
        <f>+I553*(1+Tiempos!$C$17)</f>
        <v>2.6987179487179485</v>
      </c>
      <c r="K553" s="103">
        <f t="shared" ref="K553:K557" si="115">+J553*G553</f>
        <v>2.6987179487179485</v>
      </c>
      <c r="L553" s="103">
        <f>+K553/Tiempos!$B$11</f>
        <v>5.8667781493868445E-3</v>
      </c>
      <c r="M553" s="262">
        <f>+K553/Tiempos!$B$12</f>
        <v>2.9333890746934222E-3</v>
      </c>
      <c r="N553" s="243"/>
      <c r="O553" s="262"/>
      <c r="P553" s="243"/>
      <c r="Q553" s="262"/>
    </row>
    <row r="554" spans="1:17" x14ac:dyDescent="0.35">
      <c r="A554" s="81"/>
      <c r="B554" s="81">
        <v>2</v>
      </c>
      <c r="C554" s="83">
        <v>1</v>
      </c>
      <c r="D554" s="83" t="s">
        <v>69</v>
      </c>
      <c r="E554" s="99" t="s">
        <v>928</v>
      </c>
      <c r="F554" s="391" t="str">
        <f>+F553</f>
        <v>MAQ_L3</v>
      </c>
      <c r="G554" s="180">
        <f>VLOOKUP(F554,Volumenes!$D$20:$F$222,3,FALSE)</f>
        <v>1</v>
      </c>
      <c r="H554" s="97"/>
      <c r="I554" s="98">
        <v>2</v>
      </c>
      <c r="J554" s="110">
        <f>+I554*(1+Tiempos!$C$17)</f>
        <v>2.105</v>
      </c>
      <c r="K554" s="98">
        <f t="shared" si="115"/>
        <v>2.105</v>
      </c>
      <c r="L554" s="98">
        <f>+K554/Tiempos!$B$11</f>
        <v>4.5760869565217395E-3</v>
      </c>
      <c r="M554" s="261">
        <f>+K554/Tiempos!$B$12</f>
        <v>2.2880434782608697E-3</v>
      </c>
      <c r="N554" s="238"/>
      <c r="O554" s="443"/>
      <c r="P554" s="238"/>
      <c r="Q554" s="261"/>
    </row>
    <row r="555" spans="1:17" x14ac:dyDescent="0.35">
      <c r="A555" s="92"/>
      <c r="B555" s="92">
        <v>2</v>
      </c>
      <c r="C555" s="100">
        <v>1</v>
      </c>
      <c r="D555" s="100" t="s">
        <v>69</v>
      </c>
      <c r="E555" s="101" t="s">
        <v>930</v>
      </c>
      <c r="F555" s="393" t="str">
        <f>+F554</f>
        <v>MAQ_L3</v>
      </c>
      <c r="G555" s="155">
        <f>VLOOKUP(F555,Volumenes!$D$20:$F$222,3,FALSE)</f>
        <v>1</v>
      </c>
      <c r="H555" s="102">
        <v>50</v>
      </c>
      <c r="I555" s="103">
        <f>(H555/Tiempos!$B$29)/60</f>
        <v>0.42735042735042739</v>
      </c>
      <c r="J555" s="111">
        <f>+I555*(1+Tiempos!$C$17)</f>
        <v>0.4497863247863248</v>
      </c>
      <c r="K555" s="103">
        <f t="shared" si="115"/>
        <v>0.4497863247863248</v>
      </c>
      <c r="L555" s="103">
        <f>+K555/Tiempos!$B$11</f>
        <v>9.7779635823114089E-4</v>
      </c>
      <c r="M555" s="262">
        <f>+K555/Tiempos!$B$12</f>
        <v>4.8889817911557045E-4</v>
      </c>
      <c r="N555" s="243"/>
      <c r="O555" s="444"/>
      <c r="P555" s="243"/>
      <c r="Q555" s="262"/>
    </row>
    <row r="556" spans="1:17" x14ac:dyDescent="0.35">
      <c r="A556" s="81"/>
      <c r="B556" s="81">
        <v>2</v>
      </c>
      <c r="C556" s="83">
        <v>1</v>
      </c>
      <c r="D556" s="83" t="s">
        <v>69</v>
      </c>
      <c r="E556" s="99" t="s">
        <v>789</v>
      </c>
      <c r="F556" s="391" t="str">
        <f>+F555</f>
        <v>MAQ_L3</v>
      </c>
      <c r="G556" s="180">
        <f>VLOOKUP(F556,Volumenes!$D$20:$F$222,3,FALSE)</f>
        <v>1</v>
      </c>
      <c r="H556" s="97"/>
      <c r="I556" s="98">
        <f>90/60</f>
        <v>1.5</v>
      </c>
      <c r="J556" s="110">
        <f>+I556*(1+Tiempos!$C$17)</f>
        <v>1.5787499999999999</v>
      </c>
      <c r="K556" s="98">
        <f t="shared" si="115"/>
        <v>1.5787499999999999</v>
      </c>
      <c r="L556" s="98">
        <f>+K556/Tiempos!$B$11</f>
        <v>3.4320652173913039E-3</v>
      </c>
      <c r="M556" s="261">
        <f>+K556/Tiempos!$B$12</f>
        <v>1.716032608695652E-3</v>
      </c>
      <c r="N556" s="238"/>
      <c r="O556" s="443"/>
      <c r="P556" s="238"/>
      <c r="Q556" s="261"/>
    </row>
    <row r="557" spans="1:17" x14ac:dyDescent="0.35">
      <c r="A557" s="81"/>
      <c r="B557" s="81">
        <v>2</v>
      </c>
      <c r="C557" s="83">
        <v>1</v>
      </c>
      <c r="D557" s="83" t="s">
        <v>69</v>
      </c>
      <c r="E557" s="99" t="s">
        <v>929</v>
      </c>
      <c r="F557" s="391" t="str">
        <f>+F556</f>
        <v>MAQ_L3</v>
      </c>
      <c r="G557" s="180">
        <f>VLOOKUP(F557,Volumenes!$D$20:$F$222,3,FALSE)</f>
        <v>1</v>
      </c>
      <c r="H557" s="97"/>
      <c r="I557" s="98">
        <v>1.5</v>
      </c>
      <c r="J557" s="110">
        <f>+I557*(1+Tiempos!$C$17)</f>
        <v>1.5787499999999999</v>
      </c>
      <c r="K557" s="98">
        <f t="shared" si="115"/>
        <v>1.5787499999999999</v>
      </c>
      <c r="L557" s="98">
        <f>+K557/Tiempos!$B$11</f>
        <v>3.4320652173913039E-3</v>
      </c>
      <c r="M557" s="261">
        <f>+K557/Tiempos!$B$12</f>
        <v>1.716032608695652E-3</v>
      </c>
      <c r="N557" s="238"/>
      <c r="O557" s="443"/>
      <c r="P557" s="238"/>
      <c r="Q557" s="261"/>
    </row>
    <row r="558" spans="1:17" x14ac:dyDescent="0.35">
      <c r="A558" s="81"/>
      <c r="B558" s="81">
        <v>2</v>
      </c>
      <c r="C558" s="83">
        <v>1</v>
      </c>
      <c r="D558" s="83" t="s">
        <v>69</v>
      </c>
      <c r="E558" s="99" t="s">
        <v>931</v>
      </c>
      <c r="F558" s="391" t="str">
        <f>+F557</f>
        <v>MAQ_L3</v>
      </c>
      <c r="G558" s="180">
        <f>VLOOKUP(F558,Volumenes!$D$20:$F$222,3,FALSE)</f>
        <v>1</v>
      </c>
      <c r="H558" s="97"/>
      <c r="I558" s="98">
        <f>20/60</f>
        <v>0.33333333333333331</v>
      </c>
      <c r="J558" s="110">
        <f>+I558*(1+Tiempos!$C$17)</f>
        <v>0.35083333333333333</v>
      </c>
      <c r="K558" s="98">
        <f t="shared" ref="K558" si="116">+J558*G558</f>
        <v>0.35083333333333333</v>
      </c>
      <c r="L558" s="98">
        <f>+K558/Tiempos!$B$11</f>
        <v>7.6268115942028987E-4</v>
      </c>
      <c r="M558" s="261">
        <f>+K558/Tiempos!$B$12</f>
        <v>3.8134057971014494E-4</v>
      </c>
      <c r="N558" s="484"/>
      <c r="O558" s="485"/>
      <c r="P558" s="484"/>
      <c r="Q558" s="483"/>
    </row>
    <row r="559" spans="1:17" x14ac:dyDescent="0.35">
      <c r="A559" s="75"/>
      <c r="B559" s="75"/>
      <c r="E559" s="104"/>
      <c r="F559" s="75"/>
      <c r="G559" s="108"/>
      <c r="H559" s="105"/>
      <c r="I559" s="106"/>
      <c r="J559" s="107"/>
      <c r="K559" s="109"/>
      <c r="L559" s="308">
        <f>SUM(L553:L558)</f>
        <v>1.9047473058342621E-2</v>
      </c>
      <c r="M559" s="308">
        <f>SUM(M553:M558)</f>
        <v>9.5237365291713106E-3</v>
      </c>
      <c r="N559" s="437"/>
      <c r="O559" s="437"/>
      <c r="P559" s="437"/>
      <c r="Q559" s="437"/>
    </row>
    <row r="560" spans="1:17" x14ac:dyDescent="0.35">
      <c r="A560" s="75"/>
      <c r="B560" s="75"/>
      <c r="E560" s="104"/>
      <c r="F560" s="75"/>
      <c r="G560" s="108"/>
      <c r="H560" s="105"/>
      <c r="I560" s="106"/>
      <c r="J560" s="107"/>
      <c r="K560" s="109"/>
      <c r="L560" s="109"/>
      <c r="M560" s="109"/>
      <c r="N560" s="249"/>
      <c r="O560" s="249"/>
      <c r="P560" s="249"/>
      <c r="Q560" s="249"/>
    </row>
    <row r="561" spans="1:17" ht="13.15" x14ac:dyDescent="0.4">
      <c r="A561" s="296" t="s">
        <v>894</v>
      </c>
      <c r="B561" s="179"/>
      <c r="E561" s="120"/>
      <c r="F561" s="75"/>
      <c r="G561" s="152"/>
      <c r="H561" s="177"/>
      <c r="I561" s="109"/>
      <c r="J561" s="107"/>
      <c r="K561" s="162"/>
      <c r="L561" s="109"/>
      <c r="M561" s="45"/>
      <c r="N561" s="45"/>
      <c r="O561" s="45"/>
      <c r="P561" s="45"/>
      <c r="Q561" s="45"/>
    </row>
    <row r="562" spans="1:17" s="70" customFormat="1" x14ac:dyDescent="0.35">
      <c r="A562" s="92"/>
      <c r="B562" s="92">
        <v>2</v>
      </c>
      <c r="C562" s="100">
        <v>1</v>
      </c>
      <c r="D562" s="100" t="s">
        <v>46</v>
      </c>
      <c r="E562" s="112" t="s">
        <v>933</v>
      </c>
      <c r="F562" s="100" t="str">
        <f>+Volumenes!D26</f>
        <v>CAMION CHAPA</v>
      </c>
      <c r="G562" s="144">
        <f>VLOOKUP(F562,Volumenes!$D$20:$F$222,3,FALSE)</f>
        <v>4</v>
      </c>
      <c r="H562" s="155">
        <v>200</v>
      </c>
      <c r="I562" s="103">
        <f>+(H562/Tiempos!$B$29)/60</f>
        <v>1.7094017094017095</v>
      </c>
      <c r="J562" s="111">
        <f>+I562*(1+Tiempos!$C$17)</f>
        <v>1.7991452991452992</v>
      </c>
      <c r="K562" s="146">
        <f>+J562*G562</f>
        <v>7.1965811965811968</v>
      </c>
      <c r="L562" s="103">
        <f>+K562/Tiempos!$B$11</f>
        <v>1.5644741731698254E-2</v>
      </c>
      <c r="M562" s="262">
        <f>+K562/Tiempos!$B$12</f>
        <v>7.8223708658491271E-3</v>
      </c>
      <c r="N562" s="234"/>
      <c r="O562" s="234"/>
      <c r="P562" s="234"/>
      <c r="Q562" s="234"/>
    </row>
    <row r="563" spans="1:17" s="70" customFormat="1" x14ac:dyDescent="0.35">
      <c r="A563" s="81"/>
      <c r="B563" s="81">
        <v>2</v>
      </c>
      <c r="C563" s="83">
        <v>1</v>
      </c>
      <c r="D563" s="83" t="s">
        <v>327</v>
      </c>
      <c r="E563" s="113" t="s">
        <v>79</v>
      </c>
      <c r="F563" s="83" t="str">
        <f>+Volumenes!D39</f>
        <v>CHA_SANT_2D_EST</v>
      </c>
      <c r="G563" s="143">
        <f>VLOOKUP(F563,Volumenes!$D$20:$F$222,3,FALSE)</f>
        <v>13.157346735978763</v>
      </c>
      <c r="H563" s="97"/>
      <c r="I563" s="98">
        <f>30/60</f>
        <v>0.5</v>
      </c>
      <c r="J563" s="110">
        <f>+I563*(1+Tiempos!$C$17)</f>
        <v>0.52625</v>
      </c>
      <c r="K563" s="123">
        <f t="shared" ref="K563:K576" si="117">+J563*G563</f>
        <v>6.9240537198088239</v>
      </c>
      <c r="L563" s="98">
        <f>+K563/Tiempos!$B$11</f>
        <v>1.5052290695236574E-2</v>
      </c>
      <c r="M563" s="261">
        <f>+K563/Tiempos!$B$12</f>
        <v>7.5261453476182872E-3</v>
      </c>
      <c r="N563" s="236"/>
      <c r="O563" s="236"/>
      <c r="P563" s="236"/>
      <c r="Q563" s="236"/>
    </row>
    <row r="564" spans="1:17" s="70" customFormat="1" x14ac:dyDescent="0.35">
      <c r="A564" s="92"/>
      <c r="B564" s="92">
        <v>2</v>
      </c>
      <c r="C564" s="100">
        <v>1</v>
      </c>
      <c r="D564" s="100" t="s">
        <v>327</v>
      </c>
      <c r="E564" s="112" t="s">
        <v>934</v>
      </c>
      <c r="F564" s="100" t="str">
        <f>+F563</f>
        <v>CHA_SANT_2D_EST</v>
      </c>
      <c r="G564" s="144">
        <f>VLOOKUP(F564,Volumenes!$D$20:$F$222,3,FALSE)</f>
        <v>13.157346735978763</v>
      </c>
      <c r="H564" s="155">
        <v>10</v>
      </c>
      <c r="I564" s="103">
        <f>VLOOKUP(F564,Tiempos!$D$42:$F$111,3,FALSE)</f>
        <v>0.99145299145299148</v>
      </c>
      <c r="J564" s="111">
        <f>+I564*(1+Tiempos!$C$17)</f>
        <v>1.0435042735042734</v>
      </c>
      <c r="K564" s="146">
        <f t="shared" si="117"/>
        <v>13.729747546971343</v>
      </c>
      <c r="L564" s="103">
        <f>+K564/Tiempos!$B$11</f>
        <v>2.9847277276024656E-2</v>
      </c>
      <c r="M564" s="262">
        <f>+K564/Tiempos!$B$12</f>
        <v>1.4923638638012328E-2</v>
      </c>
      <c r="N564" s="237"/>
      <c r="O564" s="237"/>
      <c r="P564" s="237"/>
      <c r="Q564" s="237"/>
    </row>
    <row r="565" spans="1:17" s="70" customFormat="1" x14ac:dyDescent="0.35">
      <c r="A565" s="81"/>
      <c r="B565" s="81">
        <v>2</v>
      </c>
      <c r="C565" s="83">
        <v>1</v>
      </c>
      <c r="D565" s="83" t="s">
        <v>327</v>
      </c>
      <c r="E565" s="113" t="s">
        <v>81</v>
      </c>
      <c r="F565" s="83" t="str">
        <f>+F564</f>
        <v>CHA_SANT_2D_EST</v>
      </c>
      <c r="G565" s="143">
        <f>VLOOKUP(F565,Volumenes!$D$20:$F$222,3,FALSE)</f>
        <v>13.157346735978763</v>
      </c>
      <c r="H565" s="97"/>
      <c r="I565" s="98">
        <f>15/60</f>
        <v>0.25</v>
      </c>
      <c r="J565" s="110">
        <f>+I565*(1+Tiempos!$C$17)</f>
        <v>0.263125</v>
      </c>
      <c r="K565" s="123">
        <f t="shared" si="117"/>
        <v>3.4620268599044119</v>
      </c>
      <c r="L565" s="98">
        <f>+K565/Tiempos!$B$11</f>
        <v>7.5261453476182872E-3</v>
      </c>
      <c r="M565" s="261">
        <f>+K565/Tiempos!$B$12</f>
        <v>3.7630726738091436E-3</v>
      </c>
      <c r="N565" s="236"/>
      <c r="O565" s="236"/>
      <c r="P565" s="236"/>
      <c r="Q565" s="236"/>
    </row>
    <row r="566" spans="1:17" s="70" customFormat="1" x14ac:dyDescent="0.35">
      <c r="A566" s="81"/>
      <c r="B566" s="81">
        <v>2</v>
      </c>
      <c r="C566" s="83">
        <v>1</v>
      </c>
      <c r="D566" s="83" t="s">
        <v>46</v>
      </c>
      <c r="E566" s="113" t="s">
        <v>452</v>
      </c>
      <c r="F566" s="83" t="str">
        <f>+Volumenes!D26</f>
        <v>CAMION CHAPA</v>
      </c>
      <c r="G566" s="143">
        <f>VLOOKUP(F566,Volumenes!$D$20:$F$222,3,FALSE)</f>
        <v>4</v>
      </c>
      <c r="H566" s="97"/>
      <c r="I566" s="98">
        <f>5/60</f>
        <v>8.3333333333333329E-2</v>
      </c>
      <c r="J566" s="110">
        <f>+I566*(1+Tiempos!$C$17)</f>
        <v>8.7708333333333333E-2</v>
      </c>
      <c r="K566" s="123">
        <f t="shared" si="117"/>
        <v>0.35083333333333333</v>
      </c>
      <c r="L566" s="98">
        <f>+K566/Tiempos!$B$11</f>
        <v>7.6268115942028987E-4</v>
      </c>
      <c r="M566" s="261">
        <f>+K566/Tiempos!$B$12</f>
        <v>3.8134057971014494E-4</v>
      </c>
      <c r="N566" s="236"/>
      <c r="O566" s="236"/>
      <c r="P566" s="236"/>
      <c r="Q566" s="236"/>
    </row>
    <row r="567" spans="1:17" s="70" customFormat="1" x14ac:dyDescent="0.35">
      <c r="A567" s="81"/>
      <c r="B567" s="81">
        <v>2</v>
      </c>
      <c r="C567" s="83">
        <v>1</v>
      </c>
      <c r="D567" s="83" t="s">
        <v>46</v>
      </c>
      <c r="E567" s="113" t="s">
        <v>450</v>
      </c>
      <c r="F567" s="83" t="str">
        <f>+F566</f>
        <v>CAMION CHAPA</v>
      </c>
      <c r="G567" s="143">
        <f>VLOOKUP(F567,Volumenes!$D$20:$F$222,3,FALSE)</f>
        <v>4</v>
      </c>
      <c r="H567" s="97"/>
      <c r="I567" s="98">
        <v>5</v>
      </c>
      <c r="J567" s="110">
        <f>+I567*(1+Tiempos!$C$17)</f>
        <v>5.2625000000000002</v>
      </c>
      <c r="K567" s="123">
        <f t="shared" si="117"/>
        <v>21.05</v>
      </c>
      <c r="L567" s="98">
        <f>+K567/Tiempos!$B$11</f>
        <v>4.5760869565217389E-2</v>
      </c>
      <c r="M567" s="261">
        <f>+K567/Tiempos!$B$12</f>
        <v>2.2880434782608695E-2</v>
      </c>
      <c r="N567" s="236"/>
      <c r="O567" s="236"/>
      <c r="P567" s="236"/>
      <c r="Q567" s="236"/>
    </row>
    <row r="568" spans="1:17" x14ac:dyDescent="0.35">
      <c r="A568" s="81"/>
      <c r="B568" s="81">
        <v>2</v>
      </c>
      <c r="C568" s="83">
        <v>1</v>
      </c>
      <c r="D568" s="83" t="s">
        <v>46</v>
      </c>
      <c r="E568" s="113" t="s">
        <v>449</v>
      </c>
      <c r="F568" s="81" t="str">
        <f>+F566</f>
        <v>CAMION CHAPA</v>
      </c>
      <c r="G568" s="143">
        <f>VLOOKUP(F568,Volumenes!$D$20:$F$222,3,FALSE)</f>
        <v>4</v>
      </c>
      <c r="H568" s="97"/>
      <c r="I568" s="98">
        <f>8/60</f>
        <v>0.13333333333333333</v>
      </c>
      <c r="J568" s="110">
        <f>+I568*(1+Tiempos!$C$17)</f>
        <v>0.14033333333333334</v>
      </c>
      <c r="K568" s="123">
        <f t="shared" si="117"/>
        <v>0.56133333333333335</v>
      </c>
      <c r="L568" s="98">
        <f>+K568/Tiempos!$B$11</f>
        <v>1.2202898550724638E-3</v>
      </c>
      <c r="M568" s="261">
        <f>+K568/Tiempos!$B$12</f>
        <v>6.1014492753623192E-4</v>
      </c>
      <c r="N568" s="236"/>
      <c r="O568" s="236"/>
      <c r="P568" s="236"/>
      <c r="Q568" s="236"/>
    </row>
    <row r="569" spans="1:17" x14ac:dyDescent="0.35">
      <c r="A569" s="81"/>
      <c r="B569" s="81">
        <v>2</v>
      </c>
      <c r="C569" s="83">
        <v>1</v>
      </c>
      <c r="D569" s="83" t="s">
        <v>46</v>
      </c>
      <c r="E569" s="113" t="s">
        <v>456</v>
      </c>
      <c r="F569" s="81" t="str">
        <f>+Volumenes!D39</f>
        <v>CHA_SANT_2D_EST</v>
      </c>
      <c r="G569" s="143">
        <f>VLOOKUP(F569,Volumenes!$D$20:$F$222,3,FALSE)</f>
        <v>13.157346735978763</v>
      </c>
      <c r="H569" s="97"/>
      <c r="I569" s="98">
        <f>6/60</f>
        <v>0.1</v>
      </c>
      <c r="J569" s="110">
        <f>+I569*(1+Tiempos!$C$17)</f>
        <v>0.10525000000000001</v>
      </c>
      <c r="K569" s="123">
        <f t="shared" si="117"/>
        <v>1.384810743961765</v>
      </c>
      <c r="L569" s="98">
        <f>+K569/Tiempos!$B$11</f>
        <v>3.010458139047315E-3</v>
      </c>
      <c r="M569" s="261">
        <f>+K569/Tiempos!$B$12</f>
        <v>1.5052290695236575E-3</v>
      </c>
      <c r="N569" s="236"/>
      <c r="O569" s="236"/>
      <c r="P569" s="236"/>
      <c r="Q569" s="236"/>
    </row>
    <row r="570" spans="1:17" x14ac:dyDescent="0.35">
      <c r="A570" s="81"/>
      <c r="B570" s="81">
        <v>2</v>
      </c>
      <c r="C570" s="83">
        <v>1</v>
      </c>
      <c r="D570" s="83" t="s">
        <v>46</v>
      </c>
      <c r="E570" s="113" t="s">
        <v>182</v>
      </c>
      <c r="F570" s="81" t="str">
        <f>+Volumenes!D26</f>
        <v>CAMION CHAPA</v>
      </c>
      <c r="G570" s="143">
        <f>VLOOKUP(F570,Volumenes!$D$20:$F$222,3,FALSE)</f>
        <v>4</v>
      </c>
      <c r="H570" s="97"/>
      <c r="I570" s="98">
        <f>10/60</f>
        <v>0.16666666666666666</v>
      </c>
      <c r="J570" s="110">
        <f>+I570*(1+Tiempos!$C$17)</f>
        <v>0.17541666666666667</v>
      </c>
      <c r="K570" s="123">
        <f t="shared" si="117"/>
        <v>0.70166666666666666</v>
      </c>
      <c r="L570" s="98">
        <f>+K570/Tiempos!$B$11</f>
        <v>1.5253623188405797E-3</v>
      </c>
      <c r="M570" s="261">
        <f>+K570/Tiempos!$B$12</f>
        <v>7.6268115942028987E-4</v>
      </c>
      <c r="N570" s="236"/>
      <c r="O570" s="236"/>
      <c r="P570" s="236"/>
      <c r="Q570" s="236"/>
    </row>
    <row r="571" spans="1:17" x14ac:dyDescent="0.35">
      <c r="A571" s="81"/>
      <c r="B571" s="81">
        <v>2</v>
      </c>
      <c r="C571" s="83">
        <v>1</v>
      </c>
      <c r="D571" s="83" t="s">
        <v>46</v>
      </c>
      <c r="E571" s="113" t="s">
        <v>453</v>
      </c>
      <c r="F571" s="81" t="str">
        <f>+Volumenes!D39</f>
        <v>CHA_SANT_2D_EST</v>
      </c>
      <c r="G571" s="143">
        <f>VLOOKUP(F571,Volumenes!$D$20:$F$222,3,FALSE)</f>
        <v>13.157346735978763</v>
      </c>
      <c r="H571" s="97"/>
      <c r="I571" s="98">
        <f>15/60</f>
        <v>0.25</v>
      </c>
      <c r="J571" s="110">
        <f>+I571*(1+Tiempos!$C$17)</f>
        <v>0.263125</v>
      </c>
      <c r="K571" s="123">
        <f t="shared" si="117"/>
        <v>3.4620268599044119</v>
      </c>
      <c r="L571" s="98">
        <f>+K571/Tiempos!$B$11</f>
        <v>7.5261453476182872E-3</v>
      </c>
      <c r="M571" s="261">
        <f>+K571/Tiempos!$B$12</f>
        <v>3.7630726738091436E-3</v>
      </c>
      <c r="N571" s="236"/>
      <c r="O571" s="236"/>
      <c r="P571" s="236"/>
      <c r="Q571" s="236"/>
    </row>
    <row r="572" spans="1:17" x14ac:dyDescent="0.35">
      <c r="A572" s="92"/>
      <c r="B572" s="92">
        <v>2</v>
      </c>
      <c r="C572" s="100">
        <v>1</v>
      </c>
      <c r="D572" s="100" t="s">
        <v>46</v>
      </c>
      <c r="E572" s="112" t="s">
        <v>935</v>
      </c>
      <c r="F572" s="92" t="str">
        <f>+F571</f>
        <v>CHA_SANT_2D_EST</v>
      </c>
      <c r="G572" s="144">
        <f>VLOOKUP(F572,Volumenes!$D$20:$F$222,3,FALSE)</f>
        <v>13.157346735978763</v>
      </c>
      <c r="H572" s="102">
        <v>85</v>
      </c>
      <c r="I572" s="103">
        <f>+(H572/Tiempos!$B$29)/60</f>
        <v>0.72649572649572647</v>
      </c>
      <c r="J572" s="111">
        <f>+I572*(1+Tiempos!$C$17)</f>
        <v>0.76463675213675208</v>
      </c>
      <c r="K572" s="146">
        <f t="shared" si="117"/>
        <v>10.060590874935897</v>
      </c>
      <c r="L572" s="103">
        <f>+K572/Tiempos!$B$11</f>
        <v>2.1870849728121516E-2</v>
      </c>
      <c r="M572" s="262">
        <f>+K572/Tiempos!$B$12</f>
        <v>1.0935424864060758E-2</v>
      </c>
      <c r="N572" s="237"/>
      <c r="O572" s="237"/>
      <c r="P572" s="237"/>
      <c r="Q572" s="237"/>
    </row>
    <row r="573" spans="1:17" x14ac:dyDescent="0.35">
      <c r="A573" s="81"/>
      <c r="B573" s="81">
        <v>2</v>
      </c>
      <c r="C573" s="83">
        <v>1</v>
      </c>
      <c r="D573" s="83" t="s">
        <v>46</v>
      </c>
      <c r="E573" s="114" t="s">
        <v>455</v>
      </c>
      <c r="F573" s="81" t="str">
        <f>+F572</f>
        <v>CHA_SANT_2D_EST</v>
      </c>
      <c r="G573" s="143">
        <f>VLOOKUP(F573,Volumenes!$D$20:$F$222,3,FALSE)</f>
        <v>13.157346735978763</v>
      </c>
      <c r="H573" s="97"/>
      <c r="I573" s="98">
        <f>40/60</f>
        <v>0.66666666666666663</v>
      </c>
      <c r="J573" s="110">
        <f>+I573*(1+Tiempos!$C$17)</f>
        <v>0.70166666666666666</v>
      </c>
      <c r="K573" s="123">
        <f t="shared" si="117"/>
        <v>9.2320716264117646</v>
      </c>
      <c r="L573" s="98">
        <f>+K573/Tiempos!$B$11</f>
        <v>2.0069720926982098E-2</v>
      </c>
      <c r="M573" s="261">
        <f>+K573/Tiempos!$B$12</f>
        <v>1.0034860463491049E-2</v>
      </c>
      <c r="N573" s="236"/>
      <c r="O573" s="236"/>
      <c r="P573" s="236"/>
      <c r="Q573" s="236"/>
    </row>
    <row r="574" spans="1:17" x14ac:dyDescent="0.35">
      <c r="A574" s="92"/>
      <c r="B574" s="92">
        <v>2</v>
      </c>
      <c r="C574" s="100">
        <v>1</v>
      </c>
      <c r="D574" s="100" t="s">
        <v>327</v>
      </c>
      <c r="E574" s="178" t="s">
        <v>889</v>
      </c>
      <c r="F574" s="92" t="str">
        <f>+Volumenes!D26</f>
        <v>CAMION CHAPA</v>
      </c>
      <c r="G574" s="144">
        <f>VLOOKUP(F574,Volumenes!$D$20:$F$222,3,FALSE)</f>
        <v>4</v>
      </c>
      <c r="H574" s="102">
        <v>10</v>
      </c>
      <c r="I574" s="103">
        <f>VLOOKUP(F574,Tiempos!$D$42:$F$157,3,FALSE)</f>
        <v>0.22644927536231885</v>
      </c>
      <c r="J574" s="111">
        <f>+I574*(1+Tiempos!$C$17)</f>
        <v>0.23833786231884058</v>
      </c>
      <c r="K574" s="146">
        <f t="shared" si="117"/>
        <v>0.95335144927536231</v>
      </c>
      <c r="L574" s="103">
        <f>+K574/Tiempos!$B$11</f>
        <v>2.0725031505986137E-3</v>
      </c>
      <c r="M574" s="262">
        <f>+K574/Tiempos!$B$12</f>
        <v>1.0362515752993069E-3</v>
      </c>
      <c r="N574" s="237"/>
      <c r="O574" s="237"/>
      <c r="P574" s="237"/>
      <c r="Q574" s="237"/>
    </row>
    <row r="575" spans="1:17" x14ac:dyDescent="0.35">
      <c r="A575" s="81"/>
      <c r="B575" s="81">
        <v>2</v>
      </c>
      <c r="C575" s="83">
        <v>1</v>
      </c>
      <c r="D575" s="83" t="s">
        <v>327</v>
      </c>
      <c r="E575" s="114" t="s">
        <v>890</v>
      </c>
      <c r="F575" s="81" t="str">
        <f>+Volumenes!D41</f>
        <v>BUL_VAC</v>
      </c>
      <c r="G575" s="143">
        <f>VLOOKUP(F575,Volumenes!$D$20:$F$222,3,FALSE)</f>
        <v>24.852766056848775</v>
      </c>
      <c r="H575" s="97"/>
      <c r="I575" s="98">
        <f>15/60</f>
        <v>0.25</v>
      </c>
      <c r="J575" s="110">
        <f>+I575*(1+Tiempos!$C$17)</f>
        <v>0.263125</v>
      </c>
      <c r="K575" s="123">
        <f t="shared" si="117"/>
        <v>6.5393840687083342</v>
      </c>
      <c r="L575" s="98">
        <f>+K575/Tiempos!$B$11</f>
        <v>1.4216052323278987E-2</v>
      </c>
      <c r="M575" s="261">
        <f>+K575/Tiempos!$B$12</f>
        <v>7.1080261616394934E-3</v>
      </c>
      <c r="N575" s="236"/>
      <c r="O575" s="236"/>
      <c r="P575" s="236"/>
      <c r="Q575" s="236"/>
    </row>
    <row r="576" spans="1:17" x14ac:dyDescent="0.35">
      <c r="A576" s="81"/>
      <c r="B576" s="81">
        <v>2</v>
      </c>
      <c r="C576" s="83">
        <v>1</v>
      </c>
      <c r="D576" s="83" t="s">
        <v>327</v>
      </c>
      <c r="E576" s="114" t="s">
        <v>891</v>
      </c>
      <c r="F576" s="81" t="str">
        <f>+F575</f>
        <v>BUL_VAC</v>
      </c>
      <c r="G576" s="143">
        <f>VLOOKUP(F576,Volumenes!$D$20:$F$222,3,FALSE)</f>
        <v>24.852766056848775</v>
      </c>
      <c r="H576" s="97"/>
      <c r="I576" s="98">
        <f>20/60</f>
        <v>0.33333333333333331</v>
      </c>
      <c r="J576" s="110">
        <f>+I576*(1+Tiempos!$C$17)</f>
        <v>0.35083333333333333</v>
      </c>
      <c r="K576" s="123">
        <f t="shared" si="117"/>
        <v>8.7191787582777778</v>
      </c>
      <c r="L576" s="98">
        <f>+K576/Tiempos!$B$11</f>
        <v>1.8954736431038649E-2</v>
      </c>
      <c r="M576" s="261">
        <f>+K576/Tiempos!$B$12</f>
        <v>9.4773682155193245E-3</v>
      </c>
      <c r="N576" s="236"/>
      <c r="O576" s="236"/>
      <c r="P576" s="236"/>
      <c r="Q576" s="236"/>
    </row>
    <row r="577" spans="1:17" x14ac:dyDescent="0.35">
      <c r="A577" s="75"/>
      <c r="B577" s="75"/>
      <c r="E577" s="120"/>
      <c r="F577" s="75"/>
      <c r="G577" s="152"/>
      <c r="H577" s="105"/>
      <c r="I577" s="109"/>
      <c r="J577" s="107"/>
      <c r="K577" s="162"/>
      <c r="L577" s="308">
        <f>SUM(L562:L576)</f>
        <v>0.20506012399581394</v>
      </c>
      <c r="M577" s="308">
        <f>SUM(M562:M576)</f>
        <v>0.10253006199790697</v>
      </c>
      <c r="N577" s="295"/>
      <c r="O577" s="295"/>
      <c r="P577" s="295"/>
      <c r="Q577" s="295"/>
    </row>
    <row r="578" spans="1:17" x14ac:dyDescent="0.35">
      <c r="A578" s="75"/>
      <c r="B578" s="75"/>
      <c r="E578" s="104"/>
      <c r="F578" s="75"/>
      <c r="G578" s="108"/>
      <c r="H578" s="105"/>
      <c r="I578" s="106"/>
      <c r="J578" s="107"/>
      <c r="K578" s="109"/>
      <c r="L578" s="109"/>
      <c r="M578" s="109"/>
      <c r="N578" s="249"/>
      <c r="O578" s="249"/>
      <c r="P578" s="249"/>
      <c r="Q578" s="249"/>
    </row>
    <row r="579" spans="1:17" ht="13.15" x14ac:dyDescent="0.4">
      <c r="A579" s="296" t="s">
        <v>936</v>
      </c>
      <c r="B579" s="179"/>
      <c r="E579" s="120"/>
      <c r="F579" s="75"/>
      <c r="G579" s="152"/>
      <c r="H579" s="177"/>
      <c r="I579" s="109"/>
      <c r="J579" s="107"/>
      <c r="K579" s="162"/>
      <c r="L579" s="109"/>
      <c r="M579" s="45"/>
      <c r="N579" s="45"/>
      <c r="O579" s="45"/>
      <c r="P579" s="45"/>
      <c r="Q579" s="45"/>
    </row>
    <row r="580" spans="1:17" s="70" customFormat="1" x14ac:dyDescent="0.35">
      <c r="A580" s="92"/>
      <c r="B580" s="92">
        <v>2</v>
      </c>
      <c r="C580" s="100">
        <v>1</v>
      </c>
      <c r="D580" s="100" t="s">
        <v>327</v>
      </c>
      <c r="E580" s="112" t="s">
        <v>937</v>
      </c>
      <c r="F580" s="477" t="str">
        <f>+Volumenes!D222</f>
        <v>DEV_DIA</v>
      </c>
      <c r="G580" s="144">
        <f>VLOOKUP(F580,Volumenes!$D$20:$F$222,3,FALSE)</f>
        <v>2</v>
      </c>
      <c r="H580" s="155">
        <v>100</v>
      </c>
      <c r="I580" s="103">
        <f>+(H580/Tiempos!$B$29)/60</f>
        <v>0.85470085470085477</v>
      </c>
      <c r="J580" s="111">
        <f>+I580*(1+Tiempos!$C$17)</f>
        <v>0.8995726495726496</v>
      </c>
      <c r="K580" s="146">
        <f>+J580*G580</f>
        <v>1.7991452991452992</v>
      </c>
      <c r="L580" s="103">
        <f>+K580/Tiempos!$B$11</f>
        <v>3.9111854329245636E-3</v>
      </c>
      <c r="M580" s="262">
        <f>+K580/Tiempos!$B$12</f>
        <v>1.9555927164622818E-3</v>
      </c>
      <c r="N580" s="234"/>
      <c r="O580" s="234"/>
      <c r="P580" s="234"/>
      <c r="Q580" s="234"/>
    </row>
    <row r="581" spans="1:17" s="70" customFormat="1" x14ac:dyDescent="0.35">
      <c r="A581" s="81"/>
      <c r="B581" s="81">
        <v>2</v>
      </c>
      <c r="C581" s="83">
        <v>1</v>
      </c>
      <c r="D581" s="83" t="s">
        <v>46</v>
      </c>
      <c r="E581" s="113" t="s">
        <v>452</v>
      </c>
      <c r="F581" s="478" t="str">
        <f>+F580</f>
        <v>DEV_DIA</v>
      </c>
      <c r="G581" s="143">
        <f>VLOOKUP(F581,Volumenes!$D$20:$F$222,3,FALSE)</f>
        <v>2</v>
      </c>
      <c r="H581" s="180"/>
      <c r="I581" s="98">
        <f>10/60</f>
        <v>0.16666666666666666</v>
      </c>
      <c r="J581" s="110">
        <f>+I581*(1+Tiempos!$C$17)</f>
        <v>0.17541666666666667</v>
      </c>
      <c r="K581" s="123">
        <f t="shared" ref="K581:K582" si="118">+J581*G581</f>
        <v>0.35083333333333333</v>
      </c>
      <c r="L581" s="98">
        <f>+K581/Tiempos!$B$11</f>
        <v>7.6268115942028987E-4</v>
      </c>
      <c r="M581" s="261">
        <f>+K581/Tiempos!$B$12</f>
        <v>3.8134057971014494E-4</v>
      </c>
      <c r="N581" s="233"/>
      <c r="O581" s="233"/>
      <c r="P581" s="233"/>
      <c r="Q581" s="233"/>
    </row>
    <row r="582" spans="1:17" s="70" customFormat="1" x14ac:dyDescent="0.35">
      <c r="A582" s="81"/>
      <c r="B582" s="81">
        <v>2</v>
      </c>
      <c r="C582" s="83">
        <v>1</v>
      </c>
      <c r="D582" s="83" t="s">
        <v>46</v>
      </c>
      <c r="E582" s="113" t="s">
        <v>945</v>
      </c>
      <c r="F582" s="478" t="str">
        <f>+F583</f>
        <v>DEV_CAL</v>
      </c>
      <c r="G582" s="143">
        <f>VLOOKUP(F582,Volumenes!$D$20:$F$222,3,FALSE)</f>
        <v>8</v>
      </c>
      <c r="H582" s="180"/>
      <c r="I582" s="98">
        <f>35/60</f>
        <v>0.58333333333333337</v>
      </c>
      <c r="J582" s="110">
        <f>+I582*(1+Tiempos!$C$17)</f>
        <v>0.61395833333333338</v>
      </c>
      <c r="K582" s="123">
        <f t="shared" si="118"/>
        <v>4.9116666666666671</v>
      </c>
      <c r="L582" s="98">
        <f>+K582/Tiempos!$B$11</f>
        <v>1.0677536231884058E-2</v>
      </c>
      <c r="M582" s="261">
        <f>+K582/Tiempos!$B$12</f>
        <v>5.3387681159420292E-3</v>
      </c>
      <c r="N582" s="233"/>
      <c r="O582" s="233"/>
      <c r="P582" s="233"/>
      <c r="Q582" s="233"/>
    </row>
    <row r="583" spans="1:17" s="70" customFormat="1" x14ac:dyDescent="0.35">
      <c r="A583" s="81"/>
      <c r="B583" s="81">
        <v>2</v>
      </c>
      <c r="C583" s="83">
        <v>1</v>
      </c>
      <c r="D583" s="83" t="s">
        <v>327</v>
      </c>
      <c r="E583" s="113" t="s">
        <v>946</v>
      </c>
      <c r="F583" s="478" t="str">
        <f>+Volumenes!D221</f>
        <v>DEV_CAL</v>
      </c>
      <c r="G583" s="143">
        <f>VLOOKUP(F583,Volumenes!$D$20:$F$222,3,FALSE)</f>
        <v>8</v>
      </c>
      <c r="H583" s="97"/>
      <c r="I583" s="98">
        <f>30/60</f>
        <v>0.5</v>
      </c>
      <c r="J583" s="110">
        <f>+I583*(1+Tiempos!$C$17)</f>
        <v>0.52625</v>
      </c>
      <c r="K583" s="123">
        <f t="shared" ref="K583:K585" si="119">+J583*G583</f>
        <v>4.21</v>
      </c>
      <c r="L583" s="98">
        <f>+K583/Tiempos!$B$11</f>
        <v>9.1521739130434789E-3</v>
      </c>
      <c r="M583" s="261">
        <f>+K583/Tiempos!$B$12</f>
        <v>4.5760869565217395E-3</v>
      </c>
      <c r="N583" s="236"/>
      <c r="O583" s="236"/>
      <c r="P583" s="236"/>
      <c r="Q583" s="236"/>
    </row>
    <row r="584" spans="1:17" s="70" customFormat="1" x14ac:dyDescent="0.35">
      <c r="A584" s="92"/>
      <c r="B584" s="92">
        <v>2</v>
      </c>
      <c r="C584" s="100">
        <v>1</v>
      </c>
      <c r="D584" s="100" t="s">
        <v>327</v>
      </c>
      <c r="E584" s="112" t="s">
        <v>943</v>
      </c>
      <c r="F584" s="477" t="str">
        <f>+F583</f>
        <v>DEV_CAL</v>
      </c>
      <c r="G584" s="144">
        <f>VLOOKUP(F584,Volumenes!$D$20:$F$222,3,FALSE)/2</f>
        <v>4</v>
      </c>
      <c r="H584" s="155">
        <v>200</v>
      </c>
      <c r="I584" s="103">
        <f>(H584/Tiempos!$B$29)/60</f>
        <v>1.7094017094017095</v>
      </c>
      <c r="J584" s="111">
        <f>+I584*(1+Tiempos!$C$17)</f>
        <v>1.7991452991452992</v>
      </c>
      <c r="K584" s="146">
        <f t="shared" si="119"/>
        <v>7.1965811965811968</v>
      </c>
      <c r="L584" s="103">
        <f>+K584/Tiempos!$B$11</f>
        <v>1.5644741731698254E-2</v>
      </c>
      <c r="M584" s="262">
        <f>+K584/Tiempos!$B$12</f>
        <v>7.8223708658491271E-3</v>
      </c>
      <c r="N584" s="237"/>
      <c r="O584" s="237"/>
      <c r="P584" s="237"/>
      <c r="Q584" s="237"/>
    </row>
    <row r="585" spans="1:17" s="70" customFormat="1" x14ac:dyDescent="0.35">
      <c r="A585" s="81"/>
      <c r="B585" s="81">
        <v>2</v>
      </c>
      <c r="C585" s="83">
        <v>1</v>
      </c>
      <c r="D585" s="83" t="s">
        <v>327</v>
      </c>
      <c r="E585" s="113" t="s">
        <v>944</v>
      </c>
      <c r="F585" s="478" t="str">
        <f>+F584</f>
        <v>DEV_CAL</v>
      </c>
      <c r="G585" s="143">
        <f>VLOOKUP(F585,Volumenes!$D$20:$F$222,3,FALSE)/2</f>
        <v>4</v>
      </c>
      <c r="H585" s="97"/>
      <c r="I585" s="98">
        <f>15/60</f>
        <v>0.25</v>
      </c>
      <c r="J585" s="110">
        <f>+I585*(1+Tiempos!$C$17)</f>
        <v>0.263125</v>
      </c>
      <c r="K585" s="123">
        <f t="shared" si="119"/>
        <v>1.0525</v>
      </c>
      <c r="L585" s="98">
        <f>+K585/Tiempos!$B$11</f>
        <v>2.2880434782608697E-3</v>
      </c>
      <c r="M585" s="261">
        <f>+K585/Tiempos!$B$12</f>
        <v>1.1440217391304349E-3</v>
      </c>
      <c r="N585" s="236"/>
      <c r="O585" s="236"/>
      <c r="P585" s="236"/>
      <c r="Q585" s="236"/>
    </row>
    <row r="586" spans="1:17" x14ac:dyDescent="0.35">
      <c r="A586" s="75"/>
      <c r="B586" s="75"/>
      <c r="E586" s="120"/>
      <c r="F586" s="75"/>
      <c r="G586" s="152"/>
      <c r="H586" s="105"/>
      <c r="I586" s="109"/>
      <c r="J586" s="107"/>
      <c r="K586" s="162"/>
      <c r="L586" s="308">
        <f>SUM(L580:L585)</f>
        <v>4.2436361947231514E-2</v>
      </c>
      <c r="M586" s="308">
        <f>SUM(M580:M585)</f>
        <v>2.1218180973615757E-2</v>
      </c>
      <c r="N586" s="295"/>
      <c r="O586" s="295"/>
      <c r="P586" s="295"/>
      <c r="Q586" s="295"/>
    </row>
    <row r="587" spans="1:17" x14ac:dyDescent="0.35">
      <c r="A587" s="75"/>
      <c r="B587" s="75"/>
      <c r="E587" s="104"/>
      <c r="F587" s="75"/>
      <c r="G587" s="108"/>
      <c r="H587" s="105"/>
      <c r="I587" s="106"/>
      <c r="J587" s="107"/>
      <c r="K587" s="109"/>
      <c r="L587" s="109"/>
      <c r="M587" s="109"/>
      <c r="N587" s="249"/>
      <c r="O587" s="249"/>
      <c r="P587" s="249"/>
      <c r="Q587" s="249"/>
    </row>
    <row r="588" spans="1:17" ht="13.15" x14ac:dyDescent="0.4">
      <c r="A588" s="296" t="s">
        <v>951</v>
      </c>
      <c r="B588" s="179"/>
      <c r="E588" s="120"/>
      <c r="F588" s="75"/>
      <c r="G588" s="152"/>
      <c r="H588" s="177"/>
      <c r="I588" s="109"/>
      <c r="J588" s="107"/>
      <c r="K588" s="162"/>
      <c r="L588" s="109"/>
      <c r="M588" s="45"/>
      <c r="N588" s="45"/>
      <c r="O588" s="45"/>
      <c r="P588" s="45"/>
      <c r="Q588" s="45"/>
    </row>
    <row r="589" spans="1:17" s="70" customFormat="1" x14ac:dyDescent="0.35">
      <c r="A589" s="92"/>
      <c r="B589" s="92">
        <v>2</v>
      </c>
      <c r="C589" s="100">
        <v>1</v>
      </c>
      <c r="D589" s="100" t="s">
        <v>327</v>
      </c>
      <c r="E589" s="112" t="s">
        <v>952</v>
      </c>
      <c r="F589" s="477" t="str">
        <f>+Volumenes!D224</f>
        <v>CHAT_DIA</v>
      </c>
      <c r="G589" s="144">
        <f>VLOOKUP(F589,Volumenes!$D$20:$F$301,3,FALSE)</f>
        <v>1</v>
      </c>
      <c r="H589" s="155">
        <v>200</v>
      </c>
      <c r="I589" s="103">
        <f>+(H589/Tiempos!$B$29)/60</f>
        <v>1.7094017094017095</v>
      </c>
      <c r="J589" s="111">
        <f>+I589*(1+Tiempos!$C$17)</f>
        <v>1.7991452991452992</v>
      </c>
      <c r="K589" s="146">
        <f>+J589*G589</f>
        <v>1.7991452991452992</v>
      </c>
      <c r="L589" s="103">
        <f>+K589/Tiempos!$B$11</f>
        <v>3.9111854329245636E-3</v>
      </c>
      <c r="M589" s="262">
        <f>+K589/Tiempos!$B$12</f>
        <v>1.9555927164622818E-3</v>
      </c>
      <c r="N589" s="234"/>
      <c r="O589" s="234"/>
      <c r="P589" s="234"/>
      <c r="Q589" s="234"/>
    </row>
    <row r="590" spans="1:17" s="70" customFormat="1" x14ac:dyDescent="0.35">
      <c r="A590" s="81"/>
      <c r="B590" s="81">
        <v>2</v>
      </c>
      <c r="C590" s="83">
        <v>1</v>
      </c>
      <c r="D590" s="83" t="s">
        <v>46</v>
      </c>
      <c r="E590" s="113" t="s">
        <v>953</v>
      </c>
      <c r="F590" s="478" t="str">
        <f>+Volumenes!D223</f>
        <v>CONT_CHAT</v>
      </c>
      <c r="G590" s="143">
        <f>VLOOKUP(F590,Volumenes!$D$20:$F$293,3,FALSE)</f>
        <v>6</v>
      </c>
      <c r="H590" s="180"/>
      <c r="I590" s="98">
        <f>15/60</f>
        <v>0.25</v>
      </c>
      <c r="J590" s="110">
        <f>+I590*(1+Tiempos!$C$17)</f>
        <v>0.263125</v>
      </c>
      <c r="K590" s="123">
        <f t="shared" ref="K590:K594" si="120">+J590*G590</f>
        <v>1.5787499999999999</v>
      </c>
      <c r="L590" s="98">
        <f>+K590/Tiempos!$B$11</f>
        <v>3.4320652173913039E-3</v>
      </c>
      <c r="M590" s="261">
        <f>+K590/Tiempos!$B$12</f>
        <v>1.716032608695652E-3</v>
      </c>
      <c r="N590" s="233"/>
      <c r="O590" s="233"/>
      <c r="P590" s="233"/>
      <c r="Q590" s="233"/>
    </row>
    <row r="591" spans="1:17" s="70" customFormat="1" x14ac:dyDescent="0.35">
      <c r="A591" s="92"/>
      <c r="B591" s="92">
        <v>2</v>
      </c>
      <c r="C591" s="100">
        <v>1</v>
      </c>
      <c r="D591" s="100" t="s">
        <v>46</v>
      </c>
      <c r="E591" s="112" t="s">
        <v>954</v>
      </c>
      <c r="F591" s="477" t="str">
        <f>+F590</f>
        <v>CONT_CHAT</v>
      </c>
      <c r="G591" s="144">
        <f>VLOOKUP(F591,Volumenes!$D$20:$F$293,3,FALSE)</f>
        <v>6</v>
      </c>
      <c r="H591" s="155">
        <v>100</v>
      </c>
      <c r="I591" s="103">
        <f>(H591/Tiempos!$B$29)/60</f>
        <v>0.85470085470085477</v>
      </c>
      <c r="J591" s="111">
        <f>+I591*(1+Tiempos!$C$17)</f>
        <v>0.8995726495726496</v>
      </c>
      <c r="K591" s="146">
        <f t="shared" si="120"/>
        <v>5.3974358974358978</v>
      </c>
      <c r="L591" s="103">
        <f>+K591/Tiempos!$B$11</f>
        <v>1.1733556298773691E-2</v>
      </c>
      <c r="M591" s="262">
        <f>+K591/Tiempos!$B$12</f>
        <v>5.8667781493868454E-3</v>
      </c>
      <c r="N591" s="234"/>
      <c r="O591" s="234"/>
      <c r="P591" s="234"/>
      <c r="Q591" s="234"/>
    </row>
    <row r="592" spans="1:17" s="70" customFormat="1" x14ac:dyDescent="0.35">
      <c r="A592" s="81"/>
      <c r="B592" s="81">
        <v>2</v>
      </c>
      <c r="C592" s="83">
        <v>1</v>
      </c>
      <c r="D592" s="83" t="s">
        <v>327</v>
      </c>
      <c r="E592" s="113" t="s">
        <v>955</v>
      </c>
      <c r="F592" s="478" t="str">
        <f>+F591</f>
        <v>CONT_CHAT</v>
      </c>
      <c r="G592" s="143">
        <f>VLOOKUP(F592,Volumenes!$D$20:$F$293,3,FALSE)</f>
        <v>6</v>
      </c>
      <c r="H592" s="97"/>
      <c r="I592" s="98">
        <f>120/60</f>
        <v>2</v>
      </c>
      <c r="J592" s="110">
        <f>+I592*(1+Tiempos!$C$17)</f>
        <v>2.105</v>
      </c>
      <c r="K592" s="123">
        <f t="shared" si="120"/>
        <v>12.629999999999999</v>
      </c>
      <c r="L592" s="98">
        <f>+K592/Tiempos!$B$11</f>
        <v>2.7456521739130432E-2</v>
      </c>
      <c r="M592" s="261">
        <f>+K592/Tiempos!$B$12</f>
        <v>1.3728260869565216E-2</v>
      </c>
      <c r="N592" s="236"/>
      <c r="O592" s="236"/>
      <c r="P592" s="236"/>
      <c r="Q592" s="236"/>
    </row>
    <row r="593" spans="1:17" s="70" customFormat="1" x14ac:dyDescent="0.35">
      <c r="A593" s="92"/>
      <c r="B593" s="92">
        <v>2</v>
      </c>
      <c r="C593" s="100">
        <v>1</v>
      </c>
      <c r="D593" s="100" t="s">
        <v>327</v>
      </c>
      <c r="E593" s="112" t="s">
        <v>956</v>
      </c>
      <c r="F593" s="477" t="str">
        <f>+F592</f>
        <v>CONT_CHAT</v>
      </c>
      <c r="G593" s="144">
        <f>VLOOKUP(F593,Volumenes!$D$20:$F$293,3,FALSE)</f>
        <v>6</v>
      </c>
      <c r="H593" s="155">
        <v>100</v>
      </c>
      <c r="I593" s="103">
        <f>(H593/Tiempos!$B$29)/60</f>
        <v>0.85470085470085477</v>
      </c>
      <c r="J593" s="111">
        <f>+I593*(1+Tiempos!$C$17)</f>
        <v>0.8995726495726496</v>
      </c>
      <c r="K593" s="146">
        <f t="shared" si="120"/>
        <v>5.3974358974358978</v>
      </c>
      <c r="L593" s="103">
        <f>+K593/Tiempos!$B$11</f>
        <v>1.1733556298773691E-2</v>
      </c>
      <c r="M593" s="262">
        <f>+K593/Tiempos!$B$12</f>
        <v>5.8667781493868454E-3</v>
      </c>
      <c r="N593" s="237"/>
      <c r="O593" s="237"/>
      <c r="P593" s="237"/>
      <c r="Q593" s="237"/>
    </row>
    <row r="594" spans="1:17" s="70" customFormat="1" x14ac:dyDescent="0.35">
      <c r="A594" s="81"/>
      <c r="B594" s="81">
        <v>2</v>
      </c>
      <c r="C594" s="83">
        <v>1</v>
      </c>
      <c r="D594" s="83" t="s">
        <v>327</v>
      </c>
      <c r="E594" s="113" t="s">
        <v>957</v>
      </c>
      <c r="F594" s="478" t="str">
        <f>+F593</f>
        <v>CONT_CHAT</v>
      </c>
      <c r="G594" s="143">
        <f>VLOOKUP(F594,Volumenes!$D$20:$F$293,3,FALSE)</f>
        <v>6</v>
      </c>
      <c r="H594" s="97"/>
      <c r="I594" s="98">
        <f>15/60</f>
        <v>0.25</v>
      </c>
      <c r="J594" s="110">
        <f>+I594*(1+Tiempos!$C$17)</f>
        <v>0.263125</v>
      </c>
      <c r="K594" s="123">
        <f t="shared" si="120"/>
        <v>1.5787499999999999</v>
      </c>
      <c r="L594" s="98">
        <f>+K594/Tiempos!$B$11</f>
        <v>3.4320652173913039E-3</v>
      </c>
      <c r="M594" s="261">
        <f>+K594/Tiempos!$B$12</f>
        <v>1.716032608695652E-3</v>
      </c>
      <c r="N594" s="236"/>
      <c r="O594" s="236"/>
      <c r="P594" s="236"/>
      <c r="Q594" s="236"/>
    </row>
    <row r="595" spans="1:17" x14ac:dyDescent="0.35">
      <c r="A595" s="75"/>
      <c r="B595" s="75"/>
      <c r="E595" s="120"/>
      <c r="F595" s="75"/>
      <c r="G595" s="152"/>
      <c r="H595" s="105"/>
      <c r="I595" s="109"/>
      <c r="J595" s="107"/>
      <c r="K595" s="162"/>
      <c r="L595" s="308">
        <f>SUM(L589:L594)</f>
        <v>6.1698950204384991E-2</v>
      </c>
      <c r="M595" s="308">
        <f>SUM(M589:M594)</f>
        <v>3.0849475102192495E-2</v>
      </c>
      <c r="N595" s="295"/>
      <c r="O595" s="295"/>
      <c r="P595" s="295"/>
      <c r="Q595" s="295"/>
    </row>
    <row r="596" spans="1:17" x14ac:dyDescent="0.35">
      <c r="A596" s="75"/>
      <c r="B596" s="75"/>
      <c r="E596" s="120"/>
      <c r="F596" s="75"/>
      <c r="G596" s="152"/>
      <c r="H596" s="105"/>
      <c r="I596" s="109"/>
      <c r="J596" s="107"/>
      <c r="K596" s="162"/>
      <c r="L596" s="109"/>
      <c r="M596" s="109"/>
      <c r="N596" s="295"/>
      <c r="O596" s="295"/>
      <c r="P596" s="295"/>
      <c r="Q596" s="295"/>
    </row>
    <row r="597" spans="1:17" ht="13.15" x14ac:dyDescent="0.4">
      <c r="A597" s="296" t="s">
        <v>1000</v>
      </c>
      <c r="B597" s="179"/>
      <c r="E597" s="120"/>
      <c r="F597" s="75"/>
      <c r="G597" s="152"/>
      <c r="H597" s="177"/>
      <c r="I597" s="109"/>
      <c r="J597" s="107"/>
      <c r="K597" s="162"/>
      <c r="L597" s="109"/>
      <c r="M597" s="45"/>
      <c r="N597" s="45"/>
      <c r="O597" s="45"/>
      <c r="P597" s="45"/>
      <c r="Q597" s="45"/>
    </row>
    <row r="598" spans="1:17" s="70" customFormat="1" x14ac:dyDescent="0.35">
      <c r="A598" s="92"/>
      <c r="B598" s="92">
        <v>2</v>
      </c>
      <c r="C598" s="100">
        <v>1</v>
      </c>
      <c r="D598" s="100" t="s">
        <v>327</v>
      </c>
      <c r="E598" s="112" t="s">
        <v>808</v>
      </c>
      <c r="F598" s="477" t="str">
        <f>+Volumenes!D205</f>
        <v>ARM_ALM</v>
      </c>
      <c r="G598" s="144">
        <f>VLOOKUP(F598,Volumenes!$D$20:$F$301,3,FALSE)</f>
        <v>1</v>
      </c>
      <c r="H598" s="155">
        <v>50</v>
      </c>
      <c r="I598" s="103">
        <f>+(H598/Tiempos!$B$29)/60</f>
        <v>0.42735042735042739</v>
      </c>
      <c r="J598" s="111">
        <f>+I598*(1+Tiempos!$C$17)</f>
        <v>0.4497863247863248</v>
      </c>
      <c r="K598" s="146">
        <f>+J598*G598</f>
        <v>0.4497863247863248</v>
      </c>
      <c r="L598" s="103">
        <f>+K598/Tiempos!$B$11</f>
        <v>9.7779635823114089E-4</v>
      </c>
      <c r="M598" s="262">
        <f>+K598/Tiempos!$B$12</f>
        <v>4.8889817911557045E-4</v>
      </c>
      <c r="N598" s="234"/>
      <c r="O598" s="234"/>
      <c r="P598" s="234"/>
      <c r="Q598" s="234"/>
    </row>
    <row r="599" spans="1:17" s="70" customFormat="1" x14ac:dyDescent="0.35">
      <c r="A599" s="81"/>
      <c r="B599" s="81">
        <v>2</v>
      </c>
      <c r="C599" s="83">
        <v>1</v>
      </c>
      <c r="D599" s="83" t="s">
        <v>46</v>
      </c>
      <c r="E599" s="113" t="s">
        <v>1001</v>
      </c>
      <c r="F599" s="478" t="str">
        <f>+Volumenes!D205</f>
        <v>ARM_ALM</v>
      </c>
      <c r="G599" s="143">
        <f>VLOOKUP(F599,Volumenes!$D$20:$F$293,3,FALSE)</f>
        <v>1</v>
      </c>
      <c r="H599" s="180"/>
      <c r="I599" s="98">
        <f>15/60</f>
        <v>0.25</v>
      </c>
      <c r="J599" s="110">
        <f>+I599*(1+Tiempos!$C$17)</f>
        <v>0.263125</v>
      </c>
      <c r="K599" s="123">
        <f t="shared" ref="K599:K601" si="121">+J599*G599</f>
        <v>0.263125</v>
      </c>
      <c r="L599" s="98">
        <f>+K599/Tiempos!$B$11</f>
        <v>5.7201086956521743E-4</v>
      </c>
      <c r="M599" s="261">
        <f>+K599/Tiempos!$B$12</f>
        <v>2.8600543478260872E-4</v>
      </c>
      <c r="N599" s="233"/>
      <c r="O599" s="233"/>
      <c r="P599" s="233"/>
      <c r="Q599" s="233"/>
    </row>
    <row r="600" spans="1:17" s="70" customFormat="1" x14ac:dyDescent="0.35">
      <c r="A600" s="92"/>
      <c r="B600" s="92">
        <v>2</v>
      </c>
      <c r="C600" s="100">
        <v>1</v>
      </c>
      <c r="D600" s="100" t="s">
        <v>46</v>
      </c>
      <c r="E600" s="112" t="s">
        <v>1002</v>
      </c>
      <c r="F600" s="477" t="str">
        <f>+Volumenes!D205</f>
        <v>ARM_ALM</v>
      </c>
      <c r="G600" s="144">
        <f>VLOOKUP(F600,Volumenes!$D$20:$F$293,3,FALSE)</f>
        <v>1</v>
      </c>
      <c r="H600" s="155">
        <v>75</v>
      </c>
      <c r="I600" s="103">
        <f>(H600/Tiempos!$B$29)/60</f>
        <v>0.64102564102564097</v>
      </c>
      <c r="J600" s="111">
        <f>+I600*(1+Tiempos!$C$17)</f>
        <v>0.67467948717948711</v>
      </c>
      <c r="K600" s="146">
        <f t="shared" si="121"/>
        <v>0.67467948717948711</v>
      </c>
      <c r="L600" s="103">
        <f>+K600/Tiempos!$B$11</f>
        <v>1.4666945373467111E-3</v>
      </c>
      <c r="M600" s="262">
        <f>+K600/Tiempos!$B$12</f>
        <v>7.3334726867335556E-4</v>
      </c>
      <c r="N600" s="234"/>
      <c r="O600" s="234"/>
      <c r="P600" s="234"/>
      <c r="Q600" s="234"/>
    </row>
    <row r="601" spans="1:17" s="70" customFormat="1" x14ac:dyDescent="0.35">
      <c r="A601" s="81"/>
      <c r="B601" s="81">
        <v>2</v>
      </c>
      <c r="C601" s="83">
        <v>1</v>
      </c>
      <c r="D601" s="83" t="s">
        <v>327</v>
      </c>
      <c r="E601" s="113" t="s">
        <v>81</v>
      </c>
      <c r="F601" s="478" t="str">
        <f>+Volumenes!D205</f>
        <v>ARM_ALM</v>
      </c>
      <c r="G601" s="143">
        <f>VLOOKUP(F601,Volumenes!$D$20:$F$293,3,FALSE)</f>
        <v>1</v>
      </c>
      <c r="H601" s="97"/>
      <c r="I601" s="98">
        <f>15/60</f>
        <v>0.25</v>
      </c>
      <c r="J601" s="110">
        <f>+I601*(1+Tiempos!$C$17)</f>
        <v>0.263125</v>
      </c>
      <c r="K601" s="123">
        <f t="shared" si="121"/>
        <v>0.263125</v>
      </c>
      <c r="L601" s="98">
        <f>+K601/Tiempos!$B$11</f>
        <v>5.7201086956521743E-4</v>
      </c>
      <c r="M601" s="261">
        <f>+K601/Tiempos!$B$12</f>
        <v>2.8600543478260872E-4</v>
      </c>
      <c r="N601" s="236"/>
      <c r="O601" s="236"/>
      <c r="P601" s="236"/>
      <c r="Q601" s="236"/>
    </row>
    <row r="602" spans="1:17" x14ac:dyDescent="0.35">
      <c r="A602" s="75"/>
      <c r="B602" s="75"/>
      <c r="E602" s="120"/>
      <c r="F602" s="75"/>
      <c r="G602" s="152"/>
      <c r="H602" s="105"/>
      <c r="I602" s="109"/>
      <c r="J602" s="107"/>
      <c r="K602" s="162"/>
      <c r="L602" s="308">
        <f>SUM(L598:L601)</f>
        <v>3.5885126347082871E-3</v>
      </c>
      <c r="M602" s="308">
        <f>SUM(M598:M601)</f>
        <v>1.7942563173541435E-3</v>
      </c>
      <c r="N602" s="295"/>
      <c r="O602" s="295"/>
      <c r="P602" s="295"/>
      <c r="Q602" s="295"/>
    </row>
    <row r="603" spans="1:17" x14ac:dyDescent="0.35">
      <c r="A603" s="75"/>
      <c r="B603" s="75"/>
      <c r="E603" s="120"/>
      <c r="F603" s="75"/>
      <c r="G603" s="152"/>
      <c r="H603" s="105"/>
      <c r="I603" s="109"/>
      <c r="J603" s="107"/>
      <c r="K603" s="162"/>
      <c r="L603" s="109"/>
      <c r="M603" s="109"/>
      <c r="N603" s="295"/>
      <c r="O603" s="295"/>
      <c r="P603" s="295"/>
      <c r="Q603" s="295"/>
    </row>
    <row r="604" spans="1:17" ht="13.15" x14ac:dyDescent="0.4">
      <c r="A604" s="84" t="s">
        <v>1004</v>
      </c>
      <c r="B604" s="84"/>
      <c r="C604" s="70"/>
      <c r="D604" s="70"/>
      <c r="E604" s="94"/>
      <c r="F604" s="80"/>
      <c r="G604" s="154"/>
      <c r="H604" s="80"/>
      <c r="I604" s="80"/>
      <c r="J604" s="80"/>
      <c r="K604" s="168"/>
      <c r="L604" s="80"/>
    </row>
    <row r="605" spans="1:17" x14ac:dyDescent="0.35">
      <c r="A605" s="81"/>
      <c r="B605" s="81">
        <v>2</v>
      </c>
      <c r="C605" s="83">
        <v>1</v>
      </c>
      <c r="D605" s="83" t="s">
        <v>69</v>
      </c>
      <c r="E605" s="99" t="s">
        <v>855</v>
      </c>
      <c r="F605" s="81" t="str">
        <f>+Volumenes!D43</f>
        <v>CHA_MUL_3D</v>
      </c>
      <c r="G605" s="143">
        <f>VLOOKUP(F605,Volumenes!$D$20:$F$222,3,FALSE)</f>
        <v>35.086257962610034</v>
      </c>
      <c r="H605" s="97"/>
      <c r="I605" s="98">
        <v>0.08</v>
      </c>
      <c r="J605" s="110">
        <f>+I605*(1+Tiempos!$C$17)</f>
        <v>8.4199999999999997E-2</v>
      </c>
      <c r="K605" s="123">
        <f t="shared" ref="K605:K609" si="122">+J605*G605</f>
        <v>2.954262920451765</v>
      </c>
      <c r="L605" s="98">
        <f>+K605/Tiempos!$B$11</f>
        <v>6.4223106966342716E-3</v>
      </c>
      <c r="M605" s="261">
        <f>+K605/Tiempos!$B$12</f>
        <v>3.2111553483171358E-3</v>
      </c>
      <c r="N605" s="238"/>
      <c r="O605" s="238"/>
      <c r="P605" s="238"/>
      <c r="Q605" s="238"/>
    </row>
    <row r="606" spans="1:17" x14ac:dyDescent="0.35">
      <c r="A606" s="81"/>
      <c r="B606" s="81">
        <v>2</v>
      </c>
      <c r="C606" s="83">
        <v>1</v>
      </c>
      <c r="D606" s="83" t="s">
        <v>69</v>
      </c>
      <c r="E606" s="99" t="s">
        <v>856</v>
      </c>
      <c r="F606" s="81" t="str">
        <f>+F605</f>
        <v>CHA_MUL_3D</v>
      </c>
      <c r="G606" s="143">
        <f>VLOOKUP(F606,Volumenes!$D$20:$F$222,3,FALSE)</f>
        <v>35.086257962610034</v>
      </c>
      <c r="H606" s="97"/>
      <c r="I606" s="98">
        <v>0.25</v>
      </c>
      <c r="J606" s="110">
        <f>+I606*(1+Tiempos!$C$17)</f>
        <v>0.263125</v>
      </c>
      <c r="K606" s="123">
        <f t="shared" si="122"/>
        <v>9.2320716264117646</v>
      </c>
      <c r="L606" s="98">
        <f>+K606/Tiempos!$B$11</f>
        <v>2.0069720926982098E-2</v>
      </c>
      <c r="M606" s="261">
        <f>+K606/Tiempos!$B$12</f>
        <v>1.0034860463491049E-2</v>
      </c>
      <c r="N606" s="238"/>
      <c r="O606" s="238"/>
      <c r="P606" s="238"/>
      <c r="Q606" s="238"/>
    </row>
    <row r="607" spans="1:17" x14ac:dyDescent="0.35">
      <c r="A607" s="92"/>
      <c r="B607" s="92">
        <v>2</v>
      </c>
      <c r="C607" s="100">
        <v>1</v>
      </c>
      <c r="D607" s="100" t="s">
        <v>69</v>
      </c>
      <c r="E607" s="101" t="s">
        <v>176</v>
      </c>
      <c r="F607" s="92" t="str">
        <f>+F606</f>
        <v>CHA_MUL_3D</v>
      </c>
      <c r="G607" s="144">
        <f>VLOOKUP(F607,Volumenes!$D$20:$F$222,3,FALSE)</f>
        <v>35.086257962610034</v>
      </c>
      <c r="H607" s="102">
        <f>+Tiempos!E94</f>
        <v>125</v>
      </c>
      <c r="I607" s="103">
        <f>+Tiempos!F94</f>
        <v>1.0683760683760684</v>
      </c>
      <c r="J607" s="111">
        <f>+I607*(1+Tiempos!$C$17)</f>
        <v>1.124465811965812</v>
      </c>
      <c r="K607" s="146">
        <f t="shared" si="122"/>
        <v>39.453297548768226</v>
      </c>
      <c r="L607" s="103">
        <f>+K607/Tiempos!$B$11</f>
        <v>8.5768038149496142E-2</v>
      </c>
      <c r="M607" s="262">
        <f>+K607/Tiempos!$B$12</f>
        <v>4.2884019074748071E-2</v>
      </c>
      <c r="N607" s="243"/>
      <c r="O607" s="243"/>
      <c r="P607" s="243"/>
      <c r="Q607" s="243"/>
    </row>
    <row r="608" spans="1:17" x14ac:dyDescent="0.35">
      <c r="A608" s="81"/>
      <c r="B608" s="81">
        <v>2</v>
      </c>
      <c r="C608" s="83">
        <v>1</v>
      </c>
      <c r="D608" s="83" t="s">
        <v>69</v>
      </c>
      <c r="E608" s="99" t="s">
        <v>480</v>
      </c>
      <c r="F608" s="81" t="str">
        <f>+F607</f>
        <v>CHA_MUL_3D</v>
      </c>
      <c r="G608" s="143">
        <f>VLOOKUP(F608,Volumenes!$D$20:$F$222,3,FALSE)</f>
        <v>35.086257962610034</v>
      </c>
      <c r="H608" s="97"/>
      <c r="I608" s="98">
        <f>20/60</f>
        <v>0.33333333333333331</v>
      </c>
      <c r="J608" s="110">
        <f>+I608*(1+Tiempos!$C$17)</f>
        <v>0.35083333333333333</v>
      </c>
      <c r="K608" s="123">
        <f t="shared" si="122"/>
        <v>12.309428835215687</v>
      </c>
      <c r="L608" s="98">
        <f>+K608/Tiempos!$B$11</f>
        <v>2.6759627902642798E-2</v>
      </c>
      <c r="M608" s="261">
        <f>+K608/Tiempos!$B$12</f>
        <v>1.3379813951321399E-2</v>
      </c>
      <c r="N608" s="238"/>
      <c r="O608" s="238"/>
      <c r="P608" s="238"/>
      <c r="Q608" s="238"/>
    </row>
    <row r="609" spans="1:17" x14ac:dyDescent="0.35">
      <c r="A609" s="92"/>
      <c r="B609" s="92">
        <v>2</v>
      </c>
      <c r="C609" s="100">
        <v>1</v>
      </c>
      <c r="D609" s="100" t="s">
        <v>69</v>
      </c>
      <c r="E609" s="101" t="s">
        <v>177</v>
      </c>
      <c r="F609" s="92" t="str">
        <f>+F608</f>
        <v>CHA_MUL_3D</v>
      </c>
      <c r="G609" s="144">
        <f>VLOOKUP(F609,Volumenes!$D$20:$F$222,3,FALSE)</f>
        <v>35.086257962610034</v>
      </c>
      <c r="H609" s="102">
        <f>+H607</f>
        <v>125</v>
      </c>
      <c r="I609" s="103">
        <f>+I607</f>
        <v>1.0683760683760684</v>
      </c>
      <c r="J609" s="111">
        <f>+I609*(1+Tiempos!$C$17)</f>
        <v>1.124465811965812</v>
      </c>
      <c r="K609" s="146">
        <f t="shared" si="122"/>
        <v>39.453297548768226</v>
      </c>
      <c r="L609" s="103">
        <f>+K609/Tiempos!$B$11</f>
        <v>8.5768038149496142E-2</v>
      </c>
      <c r="M609" s="262">
        <f>+K609/Tiempos!$B$12</f>
        <v>4.2884019074748071E-2</v>
      </c>
      <c r="N609" s="247"/>
      <c r="O609" s="247"/>
      <c r="P609" s="247"/>
      <c r="Q609" s="247"/>
    </row>
    <row r="610" spans="1:17" ht="13.5" x14ac:dyDescent="0.35">
      <c r="A610" s="75"/>
      <c r="B610" s="75"/>
      <c r="E610" s="104"/>
      <c r="F610" s="75"/>
      <c r="G610" s="152"/>
      <c r="H610" s="105"/>
      <c r="I610" s="109"/>
      <c r="J610" s="107"/>
      <c r="K610" s="82" t="s">
        <v>40</v>
      </c>
      <c r="L610" s="98">
        <f>SUM(L605:L609)</f>
        <v>0.22478773582525147</v>
      </c>
      <c r="M610" s="311">
        <f>SUM(M605:M609)</f>
        <v>0.11239386791262573</v>
      </c>
      <c r="N610" s="246"/>
      <c r="O610" s="246"/>
      <c r="P610" s="246"/>
      <c r="Q610" s="246"/>
    </row>
    <row r="611" spans="1:17" ht="13.5" x14ac:dyDescent="0.35">
      <c r="A611" s="75"/>
      <c r="B611" s="75"/>
      <c r="E611" s="104"/>
      <c r="F611" s="75"/>
      <c r="G611" s="152"/>
      <c r="H611" s="105"/>
      <c r="I611" s="109"/>
      <c r="J611" s="107"/>
      <c r="K611" s="82"/>
      <c r="L611" s="109"/>
      <c r="M611" s="489"/>
      <c r="N611" s="191"/>
      <c r="O611" s="191"/>
      <c r="P611" s="191"/>
      <c r="Q611" s="191"/>
    </row>
    <row r="612" spans="1:17" ht="17.649999999999999" x14ac:dyDescent="0.35">
      <c r="A612" s="205" t="s">
        <v>1006</v>
      </c>
      <c r="B612" s="212"/>
      <c r="C612" s="70"/>
      <c r="D612" s="70"/>
      <c r="E612" s="94"/>
      <c r="F612" s="80"/>
      <c r="G612" s="80"/>
      <c r="H612" s="80"/>
      <c r="I612" s="80"/>
      <c r="J612" s="80"/>
      <c r="K612" s="80"/>
      <c r="L612" s="80"/>
    </row>
    <row r="613" spans="1:17" x14ac:dyDescent="0.35">
      <c r="A613" s="81"/>
      <c r="B613" s="81">
        <v>2</v>
      </c>
      <c r="C613" s="83">
        <v>1</v>
      </c>
      <c r="D613" s="83" t="s">
        <v>46</v>
      </c>
      <c r="E613" s="99" t="s">
        <v>547</v>
      </c>
      <c r="F613" s="81" t="str">
        <f>+Volumenes!D92</f>
        <v>CHI_AUTO</v>
      </c>
      <c r="G613" s="123">
        <f>VLOOKUP(F613,Volumenes!$D$20:$F$184,3,FALSE)</f>
        <v>6.8</v>
      </c>
      <c r="H613" s="97"/>
      <c r="I613" s="98">
        <f>15/60</f>
        <v>0.25</v>
      </c>
      <c r="J613" s="110">
        <f>+I613*(1+Tiempos!$C$17)</f>
        <v>0.263125</v>
      </c>
      <c r="K613" s="98">
        <f t="shared" ref="K613:K616" si="123">+J613*G613</f>
        <v>1.78925</v>
      </c>
      <c r="L613" s="98">
        <f>+K613/Tiempos!$B$11</f>
        <v>3.8896739130434782E-3</v>
      </c>
      <c r="M613" s="261">
        <f>+K613/Tiempos!$B$12</f>
        <v>1.9448369565217391E-3</v>
      </c>
      <c r="N613" s="238"/>
      <c r="O613" s="238"/>
      <c r="P613" s="238"/>
      <c r="Q613" s="238"/>
    </row>
    <row r="614" spans="1:17" x14ac:dyDescent="0.35">
      <c r="A614" s="92"/>
      <c r="B614" s="92">
        <v>2</v>
      </c>
      <c r="C614" s="100">
        <v>1</v>
      </c>
      <c r="D614" s="100" t="s">
        <v>69</v>
      </c>
      <c r="E614" s="101" t="s">
        <v>548</v>
      </c>
      <c r="F614" s="92" t="str">
        <f>+F613</f>
        <v>CHI_AUTO</v>
      </c>
      <c r="G614" s="146">
        <f>VLOOKUP(F614,Volumenes!$D$20:$F$184,3,FALSE)</f>
        <v>6.8</v>
      </c>
      <c r="H614" s="102">
        <f>+Tiempos!E94</f>
        <v>125</v>
      </c>
      <c r="I614" s="103">
        <f>+(H614/Tiempos!$B$28)/60</f>
        <v>1.4153079710144927</v>
      </c>
      <c r="J614" s="111">
        <f>+I614*(1+Tiempos!$C$17)</f>
        <v>1.4896116394927534</v>
      </c>
      <c r="K614" s="103">
        <f t="shared" si="123"/>
        <v>10.129359148550723</v>
      </c>
      <c r="L614" s="103">
        <f>+K614/Tiempos!$B$11</f>
        <v>2.2020345975110267E-2</v>
      </c>
      <c r="M614" s="262">
        <f>+K614/Tiempos!$B$12</f>
        <v>1.1010172987555134E-2</v>
      </c>
      <c r="N614" s="243"/>
      <c r="O614" s="243"/>
      <c r="P614" s="243"/>
      <c r="Q614" s="243"/>
    </row>
    <row r="615" spans="1:17" x14ac:dyDescent="0.35">
      <c r="A615" s="81"/>
      <c r="B615" s="81">
        <v>2</v>
      </c>
      <c r="C615" s="83">
        <v>1</v>
      </c>
      <c r="D615" s="83" t="s">
        <v>69</v>
      </c>
      <c r="E615" s="99" t="s">
        <v>549</v>
      </c>
      <c r="F615" s="81" t="str">
        <f>+F614</f>
        <v>CHI_AUTO</v>
      </c>
      <c r="G615" s="123">
        <f>VLOOKUP(F615,Volumenes!$D$20:$F$184,3,FALSE)</f>
        <v>6.8</v>
      </c>
      <c r="H615" s="97"/>
      <c r="I615" s="98">
        <f>20/60</f>
        <v>0.33333333333333331</v>
      </c>
      <c r="J615" s="110">
        <f>+I615*(1+Tiempos!$C$17)</f>
        <v>0.35083333333333333</v>
      </c>
      <c r="K615" s="98">
        <f t="shared" si="123"/>
        <v>2.3856666666666664</v>
      </c>
      <c r="L615" s="98">
        <f>+K615/Tiempos!$B$11</f>
        <v>5.1862318840579704E-3</v>
      </c>
      <c r="M615" s="261">
        <f>+K615/Tiempos!$B$12</f>
        <v>2.5931159420289852E-3</v>
      </c>
      <c r="N615" s="238"/>
      <c r="O615" s="238"/>
      <c r="P615" s="238"/>
      <c r="Q615" s="238"/>
    </row>
    <row r="616" spans="1:17" x14ac:dyDescent="0.35">
      <c r="A616" s="92"/>
      <c r="B616" s="92">
        <v>2</v>
      </c>
      <c r="C616" s="100">
        <v>1</v>
      </c>
      <c r="D616" s="100" t="s">
        <v>69</v>
      </c>
      <c r="E616" s="101" t="s">
        <v>550</v>
      </c>
      <c r="F616" s="92" t="str">
        <f>+F615</f>
        <v>CHI_AUTO</v>
      </c>
      <c r="G616" s="146">
        <f>VLOOKUP(F616,Volumenes!$D$20:$F$184,3,FALSE)</f>
        <v>6.8</v>
      </c>
      <c r="H616" s="102">
        <f>+Tiempos!E94</f>
        <v>125</v>
      </c>
      <c r="I616" s="103">
        <f>+(H616/Tiempos!$B$28)/60</f>
        <v>1.4153079710144927</v>
      </c>
      <c r="J616" s="111">
        <f>+I616*(1+Tiempos!$C$17)</f>
        <v>1.4896116394927534</v>
      </c>
      <c r="K616" s="103">
        <f t="shared" si="123"/>
        <v>10.129359148550723</v>
      </c>
      <c r="L616" s="103">
        <f>+K616/Tiempos!$B$11</f>
        <v>2.2020345975110267E-2</v>
      </c>
      <c r="M616" s="262">
        <f>+K616/Tiempos!$B$12</f>
        <v>1.1010172987555134E-2</v>
      </c>
      <c r="N616" s="243"/>
      <c r="O616" s="243"/>
      <c r="P616" s="243"/>
      <c r="Q616" s="243"/>
    </row>
    <row r="617" spans="1:17" ht="13.5" x14ac:dyDescent="0.35">
      <c r="K617" s="82" t="s">
        <v>40</v>
      </c>
      <c r="L617" s="86">
        <f>SUM(L613:L616)</f>
        <v>5.3116597747321984E-2</v>
      </c>
      <c r="M617" s="261">
        <f>SUM(M613:M616)</f>
        <v>2.6558298873660992E-2</v>
      </c>
      <c r="N617" s="238"/>
      <c r="O617" s="238"/>
      <c r="P617" s="238"/>
      <c r="Q617" s="238"/>
    </row>
    <row r="618" spans="1:17" ht="13.5" x14ac:dyDescent="0.35">
      <c r="A618" s="75"/>
      <c r="B618" s="75"/>
      <c r="E618" s="104"/>
      <c r="F618" s="75"/>
      <c r="G618" s="152"/>
      <c r="H618" s="105"/>
      <c r="I618" s="109"/>
      <c r="J618" s="107"/>
      <c r="K618" s="82"/>
      <c r="L618" s="109"/>
      <c r="M618" s="489"/>
      <c r="N618" s="191"/>
      <c r="O618" s="191"/>
      <c r="P618" s="191"/>
      <c r="Q618" s="191"/>
    </row>
    <row r="619" spans="1:17" ht="15" x14ac:dyDescent="0.4">
      <c r="A619" s="543" t="s">
        <v>874</v>
      </c>
      <c r="B619" s="544"/>
      <c r="C619" s="375"/>
      <c r="D619" s="375"/>
      <c r="E619" s="545"/>
      <c r="F619" s="75"/>
      <c r="G619" s="108"/>
      <c r="H619" s="105"/>
      <c r="I619" s="106"/>
      <c r="J619" s="107"/>
      <c r="K619" s="109"/>
      <c r="L619" s="109"/>
      <c r="M619" s="109"/>
      <c r="N619" s="249"/>
      <c r="O619" s="249"/>
      <c r="P619" s="249"/>
      <c r="Q619" s="249"/>
    </row>
    <row r="620" spans="1:17" ht="13.9" x14ac:dyDescent="0.4">
      <c r="A620" s="461"/>
      <c r="B620" s="75"/>
      <c r="E620" s="104"/>
      <c r="F620" s="75"/>
      <c r="G620" s="108"/>
      <c r="H620" s="105"/>
      <c r="I620" s="106"/>
      <c r="J620" s="107"/>
      <c r="K620" s="109"/>
      <c r="L620" s="109"/>
      <c r="M620" s="109"/>
      <c r="N620" s="249"/>
      <c r="O620" s="249"/>
      <c r="P620" s="249"/>
      <c r="Q620" s="249"/>
    </row>
    <row r="621" spans="1:17" ht="13.15" x14ac:dyDescent="0.4">
      <c r="A621" s="296" t="s">
        <v>898</v>
      </c>
      <c r="B621" s="296"/>
      <c r="C621" s="138"/>
      <c r="D621" s="138"/>
      <c r="E621" s="120"/>
      <c r="F621" s="75"/>
      <c r="G621" s="152"/>
      <c r="H621" s="177"/>
      <c r="I621" s="109"/>
      <c r="J621" s="107"/>
      <c r="K621" s="162"/>
      <c r="L621" s="109"/>
      <c r="M621" s="45"/>
      <c r="N621" s="45"/>
      <c r="O621" s="45"/>
      <c r="P621" s="45"/>
      <c r="Q621" s="45"/>
    </row>
    <row r="622" spans="1:17" s="70" customFormat="1" x14ac:dyDescent="0.35">
      <c r="A622" s="462"/>
      <c r="B622" s="462">
        <v>2</v>
      </c>
      <c r="C622" s="463">
        <v>1</v>
      </c>
      <c r="D622" s="463" t="s">
        <v>46</v>
      </c>
      <c r="E622" s="112" t="s">
        <v>249</v>
      </c>
      <c r="F622" s="100" t="s">
        <v>241</v>
      </c>
      <c r="G622" s="155">
        <f>VLOOKUP(F622,Volumenes!$D$20:$F$222,3,FALSE)</f>
        <v>4</v>
      </c>
      <c r="H622" s="155">
        <f>VLOOKUP(F622,Tiempos!$D$42:$F$113,2,FALSE)</f>
        <v>300</v>
      </c>
      <c r="I622" s="103">
        <f>VLOOKUP(F622,Tiempos!$D$42:$F$111,3,FALSE)</f>
        <v>3.3967391304347827</v>
      </c>
      <c r="J622" s="111">
        <f>+I622*(1+Tiempos!$C$17)</f>
        <v>3.5750679347826089</v>
      </c>
      <c r="K622" s="146">
        <f>+J622*G622</f>
        <v>14.300271739130435</v>
      </c>
      <c r="L622" s="103">
        <f>+K622/Tiempos!B11</f>
        <v>3.1087547258979206E-2</v>
      </c>
      <c r="M622" s="262">
        <f>+K622/Tiempos!$B$12</f>
        <v>1.5543773629489603E-2</v>
      </c>
      <c r="N622" s="234"/>
      <c r="O622" s="234"/>
      <c r="P622" s="234"/>
      <c r="Q622" s="234"/>
    </row>
    <row r="623" spans="1:17" s="70" customFormat="1" x14ac:dyDescent="0.35">
      <c r="A623" s="464"/>
      <c r="B623" s="464">
        <v>2</v>
      </c>
      <c r="C623" s="465">
        <v>1</v>
      </c>
      <c r="D623" s="465" t="s">
        <v>327</v>
      </c>
      <c r="E623" s="113" t="s">
        <v>79</v>
      </c>
      <c r="F623" s="83" t="s">
        <v>266</v>
      </c>
      <c r="G623" s="143">
        <f>VLOOKUP(F623,Volumenes!$D$20:$F$222,3,FALSE)</f>
        <v>52.629386943915058</v>
      </c>
      <c r="H623" s="97"/>
      <c r="I623" s="98">
        <f>25/60</f>
        <v>0.41666666666666669</v>
      </c>
      <c r="J623" s="110">
        <f>+I623*(1+Tiempos!$C$17)</f>
        <v>0.43854166666666666</v>
      </c>
      <c r="K623" s="123">
        <f t="shared" ref="K623:K635" si="124">+J623*G623</f>
        <v>23.080179066029416</v>
      </c>
      <c r="L623" s="98">
        <f>+K623/Tiempos!$B$11</f>
        <v>5.0174302317455254E-2</v>
      </c>
      <c r="M623" s="261">
        <f>+K623/Tiempos!$B$12</f>
        <v>2.5087151158727627E-2</v>
      </c>
      <c r="N623" s="236"/>
      <c r="O623" s="236"/>
      <c r="P623" s="236"/>
      <c r="Q623" s="236"/>
    </row>
    <row r="624" spans="1:17" s="70" customFormat="1" x14ac:dyDescent="0.35">
      <c r="A624" s="462"/>
      <c r="B624" s="462">
        <v>2</v>
      </c>
      <c r="C624" s="463">
        <v>1</v>
      </c>
      <c r="D624" s="463" t="s">
        <v>327</v>
      </c>
      <c r="E624" s="112" t="s">
        <v>80</v>
      </c>
      <c r="F624" s="100" t="s">
        <v>204</v>
      </c>
      <c r="G624" s="155">
        <f>VLOOKUP(F624,Volumenes!$D$20:$F$222,3,FALSE)</f>
        <v>4</v>
      </c>
      <c r="H624" s="155">
        <v>10</v>
      </c>
      <c r="I624" s="103">
        <f>VLOOKUP(F624,Tiempos!$D$42:$F$111,3,FALSE)</f>
        <v>0.22644927536231885</v>
      </c>
      <c r="J624" s="111">
        <f>+I624*(1+Tiempos!$C$17)</f>
        <v>0.23833786231884058</v>
      </c>
      <c r="K624" s="146">
        <f t="shared" si="124"/>
        <v>0.95335144927536231</v>
      </c>
      <c r="L624" s="103">
        <f>+K624/Tiempos!$B$11</f>
        <v>2.0725031505986137E-3</v>
      </c>
      <c r="M624" s="262">
        <f>+K624/Tiempos!$B$12</f>
        <v>1.0362515752993069E-3</v>
      </c>
      <c r="N624" s="237"/>
      <c r="O624" s="237"/>
      <c r="P624" s="237"/>
      <c r="Q624" s="237"/>
    </row>
    <row r="625" spans="1:17" s="70" customFormat="1" x14ac:dyDescent="0.35">
      <c r="A625" s="464"/>
      <c r="B625" s="464">
        <v>2</v>
      </c>
      <c r="C625" s="465">
        <v>1</v>
      </c>
      <c r="D625" s="465" t="s">
        <v>327</v>
      </c>
      <c r="E625" s="113" t="s">
        <v>81</v>
      </c>
      <c r="F625" s="83" t="s">
        <v>243</v>
      </c>
      <c r="G625" s="143">
        <f>VLOOKUP(F625,Volumenes!$D$20:$F$222,3,FALSE)</f>
        <v>52.629386943915058</v>
      </c>
      <c r="H625" s="97"/>
      <c r="I625" s="98">
        <f>15/60</f>
        <v>0.25</v>
      </c>
      <c r="J625" s="110">
        <f>+I625*(1+Tiempos!$C$17)</f>
        <v>0.263125</v>
      </c>
      <c r="K625" s="123">
        <f t="shared" si="124"/>
        <v>13.84810743961765</v>
      </c>
      <c r="L625" s="98">
        <f>+K625/Tiempos!$B$11</f>
        <v>3.0104581390473152E-2</v>
      </c>
      <c r="M625" s="261">
        <f>+K625/Tiempos!$B$12</f>
        <v>1.5052290695236576E-2</v>
      </c>
      <c r="N625" s="236"/>
      <c r="O625" s="236"/>
      <c r="P625" s="236"/>
      <c r="Q625" s="236"/>
    </row>
    <row r="626" spans="1:17" x14ac:dyDescent="0.35">
      <c r="A626" s="464"/>
      <c r="B626" s="464">
        <v>2</v>
      </c>
      <c r="C626" s="465">
        <v>1</v>
      </c>
      <c r="D626" s="465" t="s">
        <v>46</v>
      </c>
      <c r="E626" s="113" t="s">
        <v>234</v>
      </c>
      <c r="F626" s="81" t="s">
        <v>243</v>
      </c>
      <c r="G626" s="143">
        <f>VLOOKUP(F626,Volumenes!$D$20:$F$222,3,FALSE)</f>
        <v>52.629386943915058</v>
      </c>
      <c r="H626" s="97"/>
      <c r="I626" s="98">
        <f>5/60</f>
        <v>8.3333333333333329E-2</v>
      </c>
      <c r="J626" s="110">
        <f>+I626*(1+Tiempos!$C$17)</f>
        <v>8.7708333333333333E-2</v>
      </c>
      <c r="K626" s="123">
        <f t="shared" si="124"/>
        <v>4.6160358132058832</v>
      </c>
      <c r="L626" s="98">
        <f>+K626/Tiempos!$B$11</f>
        <v>1.0034860463491051E-2</v>
      </c>
      <c r="M626" s="261">
        <f>+K626/Tiempos!$B$12</f>
        <v>5.0174302317455254E-3</v>
      </c>
      <c r="N626" s="236"/>
      <c r="O626" s="236"/>
      <c r="P626" s="236"/>
      <c r="Q626" s="236"/>
    </row>
    <row r="627" spans="1:17" x14ac:dyDescent="0.35">
      <c r="A627" s="462"/>
      <c r="B627" s="462">
        <v>2</v>
      </c>
      <c r="C627" s="463">
        <v>1</v>
      </c>
      <c r="D627" s="463" t="s">
        <v>46</v>
      </c>
      <c r="E627" s="112" t="s">
        <v>53</v>
      </c>
      <c r="F627" s="92" t="s">
        <v>204</v>
      </c>
      <c r="G627" s="144">
        <f>VLOOKUP(F627,Volumenes!$D$20:$F$222,3,FALSE)</f>
        <v>4</v>
      </c>
      <c r="H627" s="102">
        <f>VLOOKUP(F627,Tiempos!$D$42:$F$113,2,FALSE)</f>
        <v>20</v>
      </c>
      <c r="I627" s="103">
        <f>VLOOKUP(F627,Tiempos!$D$42:$F$111,3,FALSE)</f>
        <v>0.22644927536231885</v>
      </c>
      <c r="J627" s="111">
        <f>+I627*(1+Tiempos!$C$17)</f>
        <v>0.23833786231884058</v>
      </c>
      <c r="K627" s="146">
        <f t="shared" si="124"/>
        <v>0.95335144927536231</v>
      </c>
      <c r="L627" s="103">
        <f>+K627/Tiempos!$B$11</f>
        <v>2.0725031505986137E-3</v>
      </c>
      <c r="M627" s="262">
        <f>+K627/Tiempos!$B$12</f>
        <v>1.0362515752993069E-3</v>
      </c>
      <c r="N627" s="237"/>
      <c r="O627" s="237"/>
      <c r="P627" s="237"/>
      <c r="Q627" s="237"/>
    </row>
    <row r="628" spans="1:17" x14ac:dyDescent="0.35">
      <c r="A628" s="464"/>
      <c r="B628" s="464">
        <v>2</v>
      </c>
      <c r="C628" s="465">
        <v>1</v>
      </c>
      <c r="D628" s="465" t="s">
        <v>46</v>
      </c>
      <c r="E628" s="114" t="s">
        <v>236</v>
      </c>
      <c r="F628" s="81" t="s">
        <v>246</v>
      </c>
      <c r="G628" s="143">
        <f>VLOOKUP(F628,Volumenes!$D$20:$F$222,3,FALSE)</f>
        <v>0.52629386943915057</v>
      </c>
      <c r="H628" s="97"/>
      <c r="I628" s="98">
        <f>30/60</f>
        <v>0.5</v>
      </c>
      <c r="J628" s="110">
        <f>+I628*(1+Tiempos!$C$17)</f>
        <v>0.52625</v>
      </c>
      <c r="K628" s="123">
        <f t="shared" si="124"/>
        <v>0.27696214879235298</v>
      </c>
      <c r="L628" s="98">
        <f>+K628/Tiempos!$B$11</f>
        <v>6.0209162780946296E-4</v>
      </c>
      <c r="M628" s="261">
        <f>+K628/Tiempos!$B$12</f>
        <v>3.0104581390473148E-4</v>
      </c>
      <c r="N628" s="236"/>
      <c r="O628" s="236"/>
      <c r="P628" s="236"/>
      <c r="Q628" s="236"/>
    </row>
    <row r="629" spans="1:17" x14ac:dyDescent="0.35">
      <c r="A629" s="462"/>
      <c r="B629" s="462">
        <v>2</v>
      </c>
      <c r="C629" s="463">
        <v>1</v>
      </c>
      <c r="D629" s="463" t="s">
        <v>46</v>
      </c>
      <c r="E629" s="112" t="s">
        <v>55</v>
      </c>
      <c r="F629" s="92" t="s">
        <v>204</v>
      </c>
      <c r="G629" s="144">
        <f>VLOOKUP(F629,Volumenes!$D$20:$F$222,3,FALSE)</f>
        <v>4</v>
      </c>
      <c r="H629" s="155">
        <f>+Tiempos!E131</f>
        <v>0</v>
      </c>
      <c r="I629" s="103">
        <f>VLOOKUP(F629,Tiempos!$D$42:$F$111,3,FALSE)</f>
        <v>0.22644927536231885</v>
      </c>
      <c r="J629" s="111">
        <f>+I629*(1+Tiempos!$C$17)</f>
        <v>0.23833786231884058</v>
      </c>
      <c r="K629" s="146">
        <f t="shared" si="124"/>
        <v>0.95335144927536231</v>
      </c>
      <c r="L629" s="103">
        <f>+K629/Tiempos!$B$11</f>
        <v>2.0725031505986137E-3</v>
      </c>
      <c r="M629" s="262">
        <f>+K629/Tiempos!$B$12</f>
        <v>1.0362515752993069E-3</v>
      </c>
      <c r="N629" s="237"/>
      <c r="O629" s="237"/>
      <c r="P629" s="237"/>
      <c r="Q629" s="237"/>
    </row>
    <row r="630" spans="1:17" x14ac:dyDescent="0.35">
      <c r="A630" s="464"/>
      <c r="B630" s="464">
        <v>2</v>
      </c>
      <c r="C630" s="465">
        <v>1</v>
      </c>
      <c r="D630" s="465" t="s">
        <v>46</v>
      </c>
      <c r="E630" s="113" t="s">
        <v>237</v>
      </c>
      <c r="F630" s="81" t="s">
        <v>204</v>
      </c>
      <c r="G630" s="180">
        <f>VLOOKUP(F630,Volumenes!$D$20:$F$222,3,FALSE)</f>
        <v>4</v>
      </c>
      <c r="H630" s="97"/>
      <c r="I630" s="98">
        <f>60/60</f>
        <v>1</v>
      </c>
      <c r="J630" s="110">
        <f>+I630*(1+Tiempos!$C$17)</f>
        <v>1.0525</v>
      </c>
      <c r="K630" s="123">
        <f t="shared" si="124"/>
        <v>4.21</v>
      </c>
      <c r="L630" s="98">
        <f>+K630/Tiempos!$B$11</f>
        <v>9.1521739130434789E-3</v>
      </c>
      <c r="M630" s="261">
        <f>+K630/Tiempos!$B$12</f>
        <v>4.5760869565217395E-3</v>
      </c>
      <c r="N630" s="236"/>
      <c r="O630" s="236"/>
      <c r="P630" s="236"/>
      <c r="Q630" s="236"/>
    </row>
    <row r="631" spans="1:17" x14ac:dyDescent="0.35">
      <c r="A631" s="464"/>
      <c r="B631" s="464">
        <v>2</v>
      </c>
      <c r="C631" s="465">
        <v>1</v>
      </c>
      <c r="D631" s="465" t="s">
        <v>46</v>
      </c>
      <c r="E631" s="113" t="s">
        <v>56</v>
      </c>
      <c r="F631" s="81" t="s">
        <v>204</v>
      </c>
      <c r="G631" s="180">
        <f>VLOOKUP(F631,Volumenes!$D$20:$F$222,3,FALSE)</f>
        <v>4</v>
      </c>
      <c r="H631" s="97"/>
      <c r="I631" s="98">
        <f>120/60</f>
        <v>2</v>
      </c>
      <c r="J631" s="110">
        <f>+I631*(1+Tiempos!$C$17)</f>
        <v>2.105</v>
      </c>
      <c r="K631" s="123">
        <f t="shared" si="124"/>
        <v>8.42</v>
      </c>
      <c r="L631" s="98">
        <f>+K631/Tiempos!$B$11</f>
        <v>1.8304347826086958E-2</v>
      </c>
      <c r="M631" s="261">
        <f>+K631/Tiempos!$B$12</f>
        <v>9.1521739130434789E-3</v>
      </c>
      <c r="N631" s="236"/>
      <c r="O631" s="236"/>
      <c r="P631" s="236"/>
      <c r="Q631" s="236"/>
    </row>
    <row r="632" spans="1:17" x14ac:dyDescent="0.35">
      <c r="A632" s="462"/>
      <c r="B632" s="462">
        <v>2</v>
      </c>
      <c r="C632" s="463">
        <v>1</v>
      </c>
      <c r="D632" s="463" t="s">
        <v>46</v>
      </c>
      <c r="E632" s="112" t="s">
        <v>57</v>
      </c>
      <c r="F632" s="92" t="s">
        <v>204</v>
      </c>
      <c r="G632" s="144">
        <f>VLOOKUP(F632,Volumenes!$D$20:$F$222,3,FALSE)</f>
        <v>4</v>
      </c>
      <c r="H632" s="155">
        <f>+H629</f>
        <v>0</v>
      </c>
      <c r="I632" s="103">
        <f>+(H632/Tiempos!$B$28/60)</f>
        <v>0</v>
      </c>
      <c r="J632" s="111">
        <f>+I632*(1+Tiempos!$C$17)</f>
        <v>0</v>
      </c>
      <c r="K632" s="146">
        <f t="shared" si="124"/>
        <v>0</v>
      </c>
      <c r="L632" s="103">
        <f>+K632/Tiempos!$B$11</f>
        <v>0</v>
      </c>
      <c r="M632" s="262">
        <f>+K632/Tiempos!$B$12</f>
        <v>0</v>
      </c>
      <c r="N632" s="237"/>
      <c r="O632" s="237"/>
      <c r="P632" s="237"/>
      <c r="Q632" s="237"/>
    </row>
    <row r="633" spans="1:17" x14ac:dyDescent="0.35">
      <c r="A633" s="464"/>
      <c r="B633" s="464">
        <v>2</v>
      </c>
      <c r="C633" s="465">
        <v>1</v>
      </c>
      <c r="D633" s="465" t="s">
        <v>46</v>
      </c>
      <c r="E633" s="113" t="s">
        <v>240</v>
      </c>
      <c r="F633" s="81" t="s">
        <v>243</v>
      </c>
      <c r="G633" s="143">
        <f>VLOOKUP(F633,Volumenes!$D$20:$F$222,3,FALSE)</f>
        <v>52.629386943915058</v>
      </c>
      <c r="H633" s="97"/>
      <c r="I633" s="98">
        <f>5/60</f>
        <v>8.3333333333333329E-2</v>
      </c>
      <c r="J633" s="110">
        <f>+I633*(1+Tiempos!$C$17)</f>
        <v>8.7708333333333333E-2</v>
      </c>
      <c r="K633" s="123">
        <f t="shared" si="124"/>
        <v>4.6160358132058832</v>
      </c>
      <c r="L633" s="98">
        <f>+K633/Tiempos!$B$11</f>
        <v>1.0034860463491051E-2</v>
      </c>
      <c r="M633" s="261">
        <f>+K633/Tiempos!$B$12</f>
        <v>5.0174302317455254E-3</v>
      </c>
      <c r="N633" s="236"/>
      <c r="O633" s="236"/>
      <c r="P633" s="236"/>
      <c r="Q633" s="236"/>
    </row>
    <row r="634" spans="1:17" x14ac:dyDescent="0.35">
      <c r="A634" s="462"/>
      <c r="B634" s="462">
        <v>2</v>
      </c>
      <c r="C634" s="463">
        <v>1</v>
      </c>
      <c r="D634" s="463" t="s">
        <v>46</v>
      </c>
      <c r="E634" s="112" t="s">
        <v>58</v>
      </c>
      <c r="F634" s="92" t="s">
        <v>204</v>
      </c>
      <c r="G634" s="144">
        <f>VLOOKUP(F634,Volumenes!$D$20:$F$222,3,FALSE)</f>
        <v>4</v>
      </c>
      <c r="H634" s="102">
        <f>VLOOKUP(F634,Tiempos!$D$42:$F$113,2,FALSE)</f>
        <v>20</v>
      </c>
      <c r="I634" s="103">
        <f>+(H634/Tiempos!$B$28/60)</f>
        <v>0.22644927536231885</v>
      </c>
      <c r="J634" s="111">
        <f>+I634*(1+Tiempos!$C$17)</f>
        <v>0.23833786231884058</v>
      </c>
      <c r="K634" s="146">
        <f t="shared" si="124"/>
        <v>0.95335144927536231</v>
      </c>
      <c r="L634" s="103">
        <f>+K634/Tiempos!$B$11</f>
        <v>2.0725031505986137E-3</v>
      </c>
      <c r="M634" s="262">
        <f>+K634/Tiempos!$B$12</f>
        <v>1.0362515752993069E-3</v>
      </c>
      <c r="N634" s="237"/>
      <c r="O634" s="237"/>
      <c r="P634" s="237"/>
      <c r="Q634" s="237"/>
    </row>
    <row r="635" spans="1:17" x14ac:dyDescent="0.35">
      <c r="A635" s="462"/>
      <c r="B635" s="462">
        <v>2</v>
      </c>
      <c r="C635" s="463">
        <v>1</v>
      </c>
      <c r="D635" s="463" t="s">
        <v>327</v>
      </c>
      <c r="E635" s="112" t="s">
        <v>248</v>
      </c>
      <c r="F635" s="92" t="s">
        <v>266</v>
      </c>
      <c r="G635" s="144">
        <f>VLOOKUP(F635,Volumenes!$D$20:$F$184,3,FALSE)</f>
        <v>52.629386943915058</v>
      </c>
      <c r="H635" s="102">
        <v>10</v>
      </c>
      <c r="I635" s="103">
        <f>+(H635/Tiempos!$B$28/60)</f>
        <v>0.11322463768115942</v>
      </c>
      <c r="J635" s="111">
        <f>+I635*(1+Tiempos!$C$17)</f>
        <v>0.11916893115942029</v>
      </c>
      <c r="K635" s="146">
        <f t="shared" si="124"/>
        <v>6.2717877896819063</v>
      </c>
      <c r="L635" s="103">
        <f>+K635/Tiempos!$B$11</f>
        <v>1.3634321281917187E-2</v>
      </c>
      <c r="M635" s="262">
        <f>+K635/Tiempos!$B$12</f>
        <v>6.8171606409585936E-3</v>
      </c>
      <c r="N635" s="237"/>
      <c r="O635" s="237"/>
      <c r="P635" s="237"/>
      <c r="Q635" s="237"/>
    </row>
    <row r="636" spans="1:17" x14ac:dyDescent="0.35">
      <c r="A636" s="464"/>
      <c r="B636" s="464">
        <v>2</v>
      </c>
      <c r="C636" s="465">
        <v>1</v>
      </c>
      <c r="D636" s="465" t="s">
        <v>327</v>
      </c>
      <c r="E636" s="113" t="s">
        <v>259</v>
      </c>
      <c r="F636" s="81" t="s">
        <v>266</v>
      </c>
      <c r="G636" s="143">
        <f>VLOOKUP(F636,Volumenes!$D$20:$F$222,3,FALSE)</f>
        <v>52.629386943915058</v>
      </c>
      <c r="H636" s="97"/>
      <c r="I636" s="98">
        <f>5/60</f>
        <v>8.3333333333333329E-2</v>
      </c>
      <c r="J636" s="110">
        <f>+I636*(1+Tiempos!$C$17)</f>
        <v>8.7708333333333333E-2</v>
      </c>
      <c r="K636" s="123">
        <f>+J636*G636</f>
        <v>4.6160358132058832</v>
      </c>
      <c r="L636" s="98">
        <f>+K636/Tiempos!$B$11</f>
        <v>1.0034860463491051E-2</v>
      </c>
      <c r="M636" s="261">
        <f>+K636/Tiempos!$B$12</f>
        <v>5.0174302317455254E-3</v>
      </c>
      <c r="N636" s="236"/>
      <c r="O636" s="236"/>
      <c r="P636" s="236"/>
      <c r="Q636" s="236"/>
    </row>
    <row r="637" spans="1:17" x14ac:dyDescent="0.35">
      <c r="A637" s="301"/>
      <c r="B637" s="301"/>
      <c r="C637" s="297"/>
      <c r="D637" s="297"/>
      <c r="E637" s="300"/>
      <c r="F637" s="75"/>
      <c r="G637" s="152"/>
      <c r="H637" s="105"/>
      <c r="I637" s="109"/>
      <c r="J637" s="107"/>
      <c r="K637" s="162"/>
      <c r="L637" s="98">
        <f>SUM(L622:L636)</f>
        <v>0.19145395960863235</v>
      </c>
      <c r="M637" s="98">
        <f>SUM(M622:M636)</f>
        <v>9.5726979804316173E-2</v>
      </c>
      <c r="N637" s="295"/>
      <c r="O637" s="295"/>
      <c r="P637" s="295"/>
      <c r="Q637" s="295"/>
    </row>
    <row r="638" spans="1:17" ht="13.15" x14ac:dyDescent="0.35">
      <c r="A638" s="205" t="s">
        <v>428</v>
      </c>
      <c r="B638" s="205"/>
      <c r="C638" s="138"/>
      <c r="D638" s="138"/>
      <c r="E638" s="120"/>
      <c r="F638" s="466"/>
      <c r="G638" s="152"/>
      <c r="H638" s="105"/>
      <c r="I638" s="106"/>
      <c r="J638" s="107"/>
      <c r="K638" s="162"/>
      <c r="L638" s="109"/>
      <c r="M638" s="351"/>
      <c r="N638" s="351"/>
      <c r="O638" s="351"/>
      <c r="P638" s="351"/>
      <c r="Q638" s="351"/>
    </row>
    <row r="639" spans="1:17" s="70" customFormat="1" x14ac:dyDescent="0.35">
      <c r="A639" s="462"/>
      <c r="B639" s="462">
        <v>2</v>
      </c>
      <c r="C639" s="463">
        <v>1</v>
      </c>
      <c r="D639" s="463" t="s">
        <v>46</v>
      </c>
      <c r="E639" s="112" t="s">
        <v>737</v>
      </c>
      <c r="F639" s="480" t="str">
        <f>+Volumenes!D92</f>
        <v>CHI_AUTO</v>
      </c>
      <c r="G639" s="144">
        <f>VLOOKUP(F639,Volumenes!$D$20:$F$222,3,FALSE)</f>
        <v>6.8</v>
      </c>
      <c r="H639" s="102">
        <v>17</v>
      </c>
      <c r="I639" s="103">
        <f>+(H639/Tiempos!B28)/60</f>
        <v>0.19248188405797104</v>
      </c>
      <c r="J639" s="111">
        <f>+I639*(1+Tiempos!$C$17)</f>
        <v>0.20258718297101452</v>
      </c>
      <c r="K639" s="146">
        <f>+J639*G639</f>
        <v>1.3775928442028986</v>
      </c>
      <c r="L639" s="103">
        <f>+K639/Tiempos!$B$11</f>
        <v>2.9947670526149972E-3</v>
      </c>
      <c r="M639" s="467">
        <f>+K639/Tiempos!$B$12</f>
        <v>1.4973835263074986E-3</v>
      </c>
      <c r="N639" s="468" t="str">
        <f>IF($D639=Tiempos!$A$35,"",IF($B639=Tiempos!$A$36,M639,M639/2))</f>
        <v/>
      </c>
      <c r="O639" s="468"/>
      <c r="P639" s="468" t="str">
        <f>IF($D639=Tiempos!$A$35,"",IF($B639=Tiempos!$A$36,N639,N639/2))</f>
        <v/>
      </c>
      <c r="Q639" s="468" t="str">
        <f>IF($D639=Tiempos!$A$35,"",IF($B639=Tiempos!$A$36,P639,P639/2))</f>
        <v/>
      </c>
    </row>
    <row r="640" spans="1:17" s="70" customFormat="1" x14ac:dyDescent="0.35">
      <c r="A640" s="464"/>
      <c r="B640" s="464">
        <v>2</v>
      </c>
      <c r="C640" s="465">
        <v>1</v>
      </c>
      <c r="D640" s="465" t="s">
        <v>46</v>
      </c>
      <c r="E640" s="113" t="s">
        <v>916</v>
      </c>
      <c r="F640" s="481" t="str">
        <f>+F639</f>
        <v>CHI_AUTO</v>
      </c>
      <c r="G640" s="143">
        <f>VLOOKUP(F640,Volumenes!$D$20:$F$184,3,FALSE)</f>
        <v>6.8</v>
      </c>
      <c r="H640" s="97"/>
      <c r="I640" s="98">
        <f>20/60</f>
        <v>0.33333333333333331</v>
      </c>
      <c r="J640" s="110">
        <f>+I640*(1+Tiempos!$C$17)</f>
        <v>0.35083333333333333</v>
      </c>
      <c r="K640" s="123">
        <f>+J640*G640</f>
        <v>2.3856666666666664</v>
      </c>
      <c r="L640" s="98">
        <f>+K640/Tiempos!$B$11</f>
        <v>5.1862318840579704E-3</v>
      </c>
      <c r="M640" s="469">
        <f>+K640/Tiempos!$B$12</f>
        <v>2.5931159420289852E-3</v>
      </c>
      <c r="N640" s="470"/>
      <c r="O640" s="470"/>
      <c r="P640" s="470"/>
      <c r="Q640" s="470"/>
    </row>
    <row r="641" spans="1:17" s="70" customFormat="1" x14ac:dyDescent="0.35">
      <c r="A641" s="462"/>
      <c r="B641" s="462">
        <v>2</v>
      </c>
      <c r="C641" s="463">
        <v>1</v>
      </c>
      <c r="D641" s="463" t="s">
        <v>46</v>
      </c>
      <c r="E641" s="112" t="s">
        <v>917</v>
      </c>
      <c r="F641" s="480" t="str">
        <f>+F640</f>
        <v>CHI_AUTO</v>
      </c>
      <c r="G641" s="144">
        <f>VLOOKUP(F641,Volumenes!$D$20:$F$184,3,FALSE)</f>
        <v>6.8</v>
      </c>
      <c r="H641" s="155">
        <v>17</v>
      </c>
      <c r="I641" s="103">
        <f>+(H641/Tiempos!B28)/60</f>
        <v>0.19248188405797104</v>
      </c>
      <c r="J641" s="111">
        <f>+I641*(1+Tiempos!$C$17)</f>
        <v>0.20258718297101452</v>
      </c>
      <c r="K641" s="146">
        <f>+J641*G641</f>
        <v>1.3775928442028986</v>
      </c>
      <c r="L641" s="103">
        <f>+K641/Tiempos!$B$11</f>
        <v>2.9947670526149972E-3</v>
      </c>
      <c r="M641" s="467">
        <f>+K641/Tiempos!$B$12</f>
        <v>1.4973835263074986E-3</v>
      </c>
      <c r="N641" s="468"/>
      <c r="O641" s="468"/>
      <c r="P641" s="468"/>
      <c r="Q641" s="468"/>
    </row>
    <row r="642" spans="1:17" s="70" customFormat="1" x14ac:dyDescent="0.35">
      <c r="A642" s="464"/>
      <c r="B642" s="464">
        <v>2</v>
      </c>
      <c r="C642" s="465">
        <v>1</v>
      </c>
      <c r="D642" s="465" t="s">
        <v>46</v>
      </c>
      <c r="E642" s="113" t="s">
        <v>918</v>
      </c>
      <c r="F642" s="481" t="str">
        <f>+F641</f>
        <v>CHI_AUTO</v>
      </c>
      <c r="G642" s="143">
        <f>VLOOKUP(F642,Volumenes!$D$20:$F$184,3,FALSE)</f>
        <v>6.8</v>
      </c>
      <c r="H642" s="97"/>
      <c r="I642" s="98">
        <f>15/60</f>
        <v>0.25</v>
      </c>
      <c r="J642" s="110">
        <f>+I642*(1+Tiempos!$C$17)</f>
        <v>0.263125</v>
      </c>
      <c r="K642" s="123">
        <f t="shared" ref="K642" si="125">+J642*G642</f>
        <v>1.78925</v>
      </c>
      <c r="L642" s="98">
        <f>+K642/Tiempos!$B$11</f>
        <v>3.8896739130434782E-3</v>
      </c>
      <c r="M642" s="469">
        <f>+K642/Tiempos!$B$12</f>
        <v>1.9448369565217391E-3</v>
      </c>
      <c r="N642" s="470"/>
      <c r="O642" s="470"/>
      <c r="P642" s="470"/>
      <c r="Q642" s="470"/>
    </row>
    <row r="643" spans="1:17" s="70" customFormat="1" x14ac:dyDescent="0.35">
      <c r="A643" s="464"/>
      <c r="B643" s="464">
        <v>2</v>
      </c>
      <c r="C643" s="465">
        <v>1</v>
      </c>
      <c r="D643" s="465" t="s">
        <v>327</v>
      </c>
      <c r="E643" s="113" t="s">
        <v>919</v>
      </c>
      <c r="F643" s="481" t="str">
        <f>+F642</f>
        <v>CHI_AUTO</v>
      </c>
      <c r="G643" s="143">
        <f>VLOOKUP(F643,Volumenes!$D$20:$F$184,3,FALSE)</f>
        <v>6.8</v>
      </c>
      <c r="H643" s="97"/>
      <c r="I643" s="98">
        <f>18/60</f>
        <v>0.3</v>
      </c>
      <c r="J643" s="110">
        <f>+I643*(1+Tiempos!$C$17)</f>
        <v>0.31574999999999998</v>
      </c>
      <c r="K643" s="123">
        <f>+J643*G643</f>
        <v>2.1470999999999996</v>
      </c>
      <c r="L643" s="98">
        <f>+K643/Tiempos!$B$11</f>
        <v>4.6676086956521732E-3</v>
      </c>
      <c r="M643" s="469">
        <f>+K643/Tiempos!$B$12</f>
        <v>2.3338043478260866E-3</v>
      </c>
      <c r="N643" s="471"/>
      <c r="O643" s="471"/>
      <c r="P643" s="471"/>
      <c r="Q643" s="471"/>
    </row>
    <row r="644" spans="1:17" s="70" customFormat="1" x14ac:dyDescent="0.35">
      <c r="A644" s="464"/>
      <c r="B644" s="464">
        <v>2</v>
      </c>
      <c r="C644" s="465">
        <v>1</v>
      </c>
      <c r="D644" s="465" t="s">
        <v>327</v>
      </c>
      <c r="E644" s="113" t="s">
        <v>920</v>
      </c>
      <c r="F644" s="481" t="str">
        <f>+Volumenes!D93</f>
        <v>CHI_AUTO_RECH</v>
      </c>
      <c r="G644" s="143">
        <f>VLOOKUP(F644,Volumenes!$D$20:$F$184,3,FALSE)</f>
        <v>0.20399999999999999</v>
      </c>
      <c r="H644" s="97"/>
      <c r="I644" s="98">
        <v>1</v>
      </c>
      <c r="J644" s="110">
        <f>+I644*(1+Tiempos!$C$17)</f>
        <v>1.0525</v>
      </c>
      <c r="K644" s="123">
        <f t="shared" ref="K644" si="126">+J644*G644</f>
        <v>0.21470999999999998</v>
      </c>
      <c r="L644" s="98">
        <f>+K644/Tiempos!$B$11</f>
        <v>4.6676086956521734E-4</v>
      </c>
      <c r="M644" s="469">
        <f>+K644/Tiempos!$B$12</f>
        <v>2.3338043478260867E-4</v>
      </c>
      <c r="N644" s="471"/>
      <c r="O644" s="471"/>
      <c r="P644" s="471"/>
      <c r="Q644" s="471"/>
    </row>
    <row r="645" spans="1:17" x14ac:dyDescent="0.35">
      <c r="A645" s="466"/>
      <c r="B645" s="466"/>
      <c r="C645" s="138"/>
      <c r="D645" s="138"/>
      <c r="E645" s="120"/>
      <c r="F645" s="466"/>
      <c r="G645" s="152"/>
      <c r="H645" s="177"/>
      <c r="I645" s="109"/>
      <c r="J645" s="107"/>
      <c r="K645" s="162"/>
      <c r="L645" s="98">
        <f>SUM(L639:L644)</f>
        <v>2.0199809467548836E-2</v>
      </c>
      <c r="M645" s="98">
        <f>SUM(M639:M644)</f>
        <v>1.0099904733774418E-2</v>
      </c>
      <c r="N645" s="470"/>
      <c r="O645" s="470"/>
      <c r="P645" s="470"/>
      <c r="Q645" s="470"/>
    </row>
    <row r="646" spans="1:17" x14ac:dyDescent="0.35">
      <c r="A646" s="466"/>
      <c r="B646" s="466"/>
      <c r="C646" s="138"/>
      <c r="D646" s="138"/>
      <c r="E646" s="120"/>
      <c r="F646" s="466"/>
      <c r="G646" s="152"/>
      <c r="H646" s="177"/>
      <c r="I646" s="109"/>
      <c r="J646" s="107"/>
      <c r="K646" s="162"/>
      <c r="L646" s="109"/>
      <c r="M646" s="109"/>
      <c r="N646" s="351"/>
      <c r="O646" s="351"/>
      <c r="P646" s="351"/>
      <c r="Q646" s="351"/>
    </row>
    <row r="647" spans="1:17" ht="13.15" x14ac:dyDescent="0.4">
      <c r="A647" s="296" t="s">
        <v>909</v>
      </c>
      <c r="B647" s="296"/>
      <c r="C647" s="138"/>
      <c r="D647" s="138"/>
      <c r="E647" s="120"/>
      <c r="F647" s="75"/>
      <c r="G647" s="152"/>
      <c r="H647" s="177"/>
      <c r="I647" s="109"/>
      <c r="J647" s="107"/>
      <c r="K647" s="162"/>
      <c r="L647" s="109"/>
      <c r="M647" s="45"/>
      <c r="N647" s="45"/>
      <c r="O647" s="45"/>
      <c r="P647" s="45"/>
      <c r="Q647" s="45"/>
    </row>
    <row r="648" spans="1:17" s="70" customFormat="1" x14ac:dyDescent="0.35">
      <c r="A648" s="462"/>
      <c r="B648" s="462">
        <v>2</v>
      </c>
      <c r="C648" s="463">
        <v>1</v>
      </c>
      <c r="D648" s="463" t="s">
        <v>46</v>
      </c>
      <c r="E648" s="112" t="s">
        <v>249</v>
      </c>
      <c r="F648" s="477" t="str">
        <f>+Volumenes!D205</f>
        <v>ARM_ALM</v>
      </c>
      <c r="G648" s="155">
        <f>VLOOKUP(F648,Volumenes!$D$20:$F$222,3,FALSE)</f>
        <v>1</v>
      </c>
      <c r="H648" s="155">
        <f>VLOOKUP(F648,Tiempos!$D$42:$F$113,2,FALSE)</f>
        <v>55</v>
      </c>
      <c r="I648" s="103">
        <f>VLOOKUP(F648,Tiempos!$D$42:$F$111,3,FALSE)</f>
        <v>0.47008547008547008</v>
      </c>
      <c r="J648" s="111">
        <f>+I648*(1+Tiempos!$C$17)</f>
        <v>0.49476495726495728</v>
      </c>
      <c r="K648" s="146">
        <f>+J648*G648</f>
        <v>0.49476495726495728</v>
      </c>
      <c r="L648" s="103">
        <f>+K648/Tiempos!$B$11</f>
        <v>1.075575994054255E-3</v>
      </c>
      <c r="M648" s="262">
        <f>+K648/Tiempos!$B$12</f>
        <v>5.3778799702712749E-4</v>
      </c>
      <c r="N648" s="234"/>
      <c r="O648" s="234"/>
      <c r="P648" s="234"/>
      <c r="Q648" s="234"/>
    </row>
    <row r="649" spans="1:17" s="70" customFormat="1" x14ac:dyDescent="0.35">
      <c r="A649" s="464"/>
      <c r="B649" s="464">
        <v>2</v>
      </c>
      <c r="C649" s="465">
        <v>1</v>
      </c>
      <c r="D649" s="465" t="s">
        <v>327</v>
      </c>
      <c r="E649" s="113" t="s">
        <v>79</v>
      </c>
      <c r="F649" s="478" t="str">
        <f t="shared" ref="F649:F657" si="127">+F648</f>
        <v>ARM_ALM</v>
      </c>
      <c r="G649" s="180">
        <f>VLOOKUP(F649,Volumenes!$D$20:$F$222,3,FALSE)</f>
        <v>1</v>
      </c>
      <c r="H649" s="97"/>
      <c r="I649" s="98">
        <f>25/60</f>
        <v>0.41666666666666669</v>
      </c>
      <c r="J649" s="110">
        <f>+I649*(1+Tiempos!$C$17)</f>
        <v>0.43854166666666666</v>
      </c>
      <c r="K649" s="123">
        <f t="shared" ref="K649:K657" si="128">+J649*G649</f>
        <v>0.43854166666666666</v>
      </c>
      <c r="L649" s="98">
        <f>+K649/Tiempos!$B$11</f>
        <v>9.5335144927536232E-4</v>
      </c>
      <c r="M649" s="261">
        <f>+K649/Tiempos!$B$12</f>
        <v>4.7667572463768116E-4</v>
      </c>
      <c r="N649" s="236"/>
      <c r="O649" s="236"/>
      <c r="P649" s="236"/>
      <c r="Q649" s="236"/>
    </row>
    <row r="650" spans="1:17" s="70" customFormat="1" x14ac:dyDescent="0.35">
      <c r="A650" s="462"/>
      <c r="B650" s="462">
        <v>2</v>
      </c>
      <c r="C650" s="463">
        <v>1</v>
      </c>
      <c r="D650" s="463" t="s">
        <v>327</v>
      </c>
      <c r="E650" s="112" t="s">
        <v>80</v>
      </c>
      <c r="F650" s="477" t="str">
        <f t="shared" si="127"/>
        <v>ARM_ALM</v>
      </c>
      <c r="G650" s="155">
        <f>VLOOKUP(F650,Volumenes!$D$20:$F$222,3,FALSE)</f>
        <v>1</v>
      </c>
      <c r="H650" s="155">
        <v>10</v>
      </c>
      <c r="I650" s="103">
        <f>VLOOKUP(F650,Tiempos!$D$42:$F$111,3,FALSE)</f>
        <v>0.47008547008547008</v>
      </c>
      <c r="J650" s="111">
        <f>+I650*(1+Tiempos!$C$17)</f>
        <v>0.49476495726495728</v>
      </c>
      <c r="K650" s="146">
        <f t="shared" si="128"/>
        <v>0.49476495726495728</v>
      </c>
      <c r="L650" s="103">
        <f>+K650/Tiempos!$B$11</f>
        <v>1.075575994054255E-3</v>
      </c>
      <c r="M650" s="262">
        <f>+K650/Tiempos!$B$12</f>
        <v>5.3778799702712749E-4</v>
      </c>
      <c r="N650" s="237"/>
      <c r="O650" s="237"/>
      <c r="P650" s="237"/>
      <c r="Q650" s="237"/>
    </row>
    <row r="651" spans="1:17" s="70" customFormat="1" x14ac:dyDescent="0.35">
      <c r="A651" s="464"/>
      <c r="B651" s="464">
        <v>2</v>
      </c>
      <c r="C651" s="465">
        <v>1</v>
      </c>
      <c r="D651" s="465" t="s">
        <v>327</v>
      </c>
      <c r="E651" s="113" t="s">
        <v>81</v>
      </c>
      <c r="F651" s="478" t="str">
        <f t="shared" si="127"/>
        <v>ARM_ALM</v>
      </c>
      <c r="G651" s="180">
        <f>VLOOKUP(F651,Volumenes!$D$20:$F$222,3,FALSE)</f>
        <v>1</v>
      </c>
      <c r="H651" s="97"/>
      <c r="I651" s="98">
        <f>15/60</f>
        <v>0.25</v>
      </c>
      <c r="J651" s="110">
        <f>+I651*(1+Tiempos!$C$17)</f>
        <v>0.263125</v>
      </c>
      <c r="K651" s="123">
        <f t="shared" si="128"/>
        <v>0.263125</v>
      </c>
      <c r="L651" s="98">
        <f>+K651/Tiempos!$B$11</f>
        <v>5.7201086956521743E-4</v>
      </c>
      <c r="M651" s="261">
        <f>+K651/Tiempos!$B$12</f>
        <v>2.8600543478260872E-4</v>
      </c>
      <c r="N651" s="236"/>
      <c r="O651" s="236"/>
      <c r="P651" s="236"/>
      <c r="Q651" s="236"/>
    </row>
    <row r="652" spans="1:17" x14ac:dyDescent="0.35">
      <c r="A652" s="464"/>
      <c r="B652" s="464">
        <v>2</v>
      </c>
      <c r="C652" s="465">
        <v>1</v>
      </c>
      <c r="D652" s="465" t="s">
        <v>46</v>
      </c>
      <c r="E652" s="113" t="s">
        <v>234</v>
      </c>
      <c r="F652" s="391" t="str">
        <f t="shared" si="127"/>
        <v>ARM_ALM</v>
      </c>
      <c r="G652" s="180">
        <f>VLOOKUP(F652,Volumenes!$D$20:$F$222,3,FALSE)</f>
        <v>1</v>
      </c>
      <c r="H652" s="97"/>
      <c r="I652" s="98">
        <f>5/60</f>
        <v>8.3333333333333329E-2</v>
      </c>
      <c r="J652" s="110">
        <f>+I652*(1+Tiempos!$C$17)</f>
        <v>8.7708333333333333E-2</v>
      </c>
      <c r="K652" s="123">
        <f t="shared" si="128"/>
        <v>8.7708333333333333E-2</v>
      </c>
      <c r="L652" s="98">
        <f>+K652/Tiempos!$B$11</f>
        <v>1.9067028985507247E-4</v>
      </c>
      <c r="M652" s="261">
        <f>+K652/Tiempos!$B$12</f>
        <v>9.5335144927536234E-5</v>
      </c>
      <c r="N652" s="236"/>
      <c r="O652" s="236"/>
      <c r="P652" s="236"/>
      <c r="Q652" s="236"/>
    </row>
    <row r="653" spans="1:17" x14ac:dyDescent="0.35">
      <c r="A653" s="462"/>
      <c r="B653" s="462">
        <v>2</v>
      </c>
      <c r="C653" s="463">
        <v>1</v>
      </c>
      <c r="D653" s="463" t="s">
        <v>46</v>
      </c>
      <c r="E653" s="112" t="s">
        <v>53</v>
      </c>
      <c r="F653" s="393" t="str">
        <f t="shared" si="127"/>
        <v>ARM_ALM</v>
      </c>
      <c r="G653" s="155">
        <f>VLOOKUP(F653,Volumenes!$D$20:$F$222,3,FALSE)</f>
        <v>1</v>
      </c>
      <c r="H653" s="102">
        <f>VLOOKUP(F653,Tiempos!$D$42:$F$113,2,FALSE)</f>
        <v>55</v>
      </c>
      <c r="I653" s="103">
        <f>VLOOKUP(F653,Tiempos!$D$42:$F$111,3,FALSE)</f>
        <v>0.47008547008547008</v>
      </c>
      <c r="J653" s="111">
        <f>+I653*(1+Tiempos!$C$17)</f>
        <v>0.49476495726495728</v>
      </c>
      <c r="K653" s="146">
        <f t="shared" si="128"/>
        <v>0.49476495726495728</v>
      </c>
      <c r="L653" s="103">
        <f>+K653/Tiempos!$B$11</f>
        <v>1.075575994054255E-3</v>
      </c>
      <c r="M653" s="262">
        <f>+K653/Tiempos!$B$12</f>
        <v>5.3778799702712749E-4</v>
      </c>
      <c r="N653" s="237"/>
      <c r="O653" s="237"/>
      <c r="P653" s="237"/>
      <c r="Q653" s="237"/>
    </row>
    <row r="654" spans="1:17" x14ac:dyDescent="0.35">
      <c r="A654" s="464"/>
      <c r="B654" s="464">
        <v>2</v>
      </c>
      <c r="C654" s="465">
        <v>1</v>
      </c>
      <c r="D654" s="465" t="s">
        <v>46</v>
      </c>
      <c r="E654" s="113" t="s">
        <v>56</v>
      </c>
      <c r="F654" s="391" t="str">
        <f t="shared" si="127"/>
        <v>ARM_ALM</v>
      </c>
      <c r="G654" s="180">
        <f>VLOOKUP(F654,Volumenes!$D$20:$F$222,3,FALSE)</f>
        <v>1</v>
      </c>
      <c r="H654" s="97"/>
      <c r="I654" s="98">
        <f>120/60</f>
        <v>2</v>
      </c>
      <c r="J654" s="110">
        <f>+I654*(1+Tiempos!$C$17)</f>
        <v>2.105</v>
      </c>
      <c r="K654" s="123">
        <f t="shared" si="128"/>
        <v>2.105</v>
      </c>
      <c r="L654" s="98">
        <f>+K654/Tiempos!$B$11</f>
        <v>4.5760869565217395E-3</v>
      </c>
      <c r="M654" s="261">
        <f>+K654/Tiempos!$B$12</f>
        <v>2.2880434782608697E-3</v>
      </c>
      <c r="N654" s="236"/>
      <c r="O654" s="236"/>
      <c r="P654" s="236"/>
      <c r="Q654" s="236"/>
    </row>
    <row r="655" spans="1:17" x14ac:dyDescent="0.35">
      <c r="A655" s="462"/>
      <c r="B655" s="462">
        <v>2</v>
      </c>
      <c r="C655" s="463">
        <v>1</v>
      </c>
      <c r="D655" s="463" t="s">
        <v>46</v>
      </c>
      <c r="E655" s="112" t="s">
        <v>57</v>
      </c>
      <c r="F655" s="393" t="str">
        <f t="shared" si="127"/>
        <v>ARM_ALM</v>
      </c>
      <c r="G655" s="155">
        <f>VLOOKUP(F655,Volumenes!$D$20:$F$222,3,FALSE)</f>
        <v>1</v>
      </c>
      <c r="H655" s="155">
        <v>30</v>
      </c>
      <c r="I655" s="103">
        <f>+(H655/Tiempos!$B$28/60)</f>
        <v>0.33967391304347827</v>
      </c>
      <c r="J655" s="111">
        <f>+I655*(1+Tiempos!$C$17)</f>
        <v>0.35750679347826086</v>
      </c>
      <c r="K655" s="146">
        <f t="shared" si="128"/>
        <v>0.35750679347826086</v>
      </c>
      <c r="L655" s="103">
        <f>+K655/Tiempos!$B$11</f>
        <v>7.7718868147448009E-4</v>
      </c>
      <c r="M655" s="262">
        <f>+K655/Tiempos!$B$12</f>
        <v>3.8859434073724005E-4</v>
      </c>
      <c r="N655" s="237"/>
      <c r="O655" s="237"/>
      <c r="P655" s="237"/>
      <c r="Q655" s="237"/>
    </row>
    <row r="656" spans="1:17" x14ac:dyDescent="0.35">
      <c r="A656" s="464"/>
      <c r="B656" s="464">
        <v>2</v>
      </c>
      <c r="C656" s="465">
        <v>1</v>
      </c>
      <c r="D656" s="465" t="s">
        <v>46</v>
      </c>
      <c r="E656" s="113" t="s">
        <v>240</v>
      </c>
      <c r="F656" s="391" t="str">
        <f t="shared" si="127"/>
        <v>ARM_ALM</v>
      </c>
      <c r="G656" s="180">
        <f>VLOOKUP(F656,Volumenes!$D$20:$F$222,3,FALSE)</f>
        <v>1</v>
      </c>
      <c r="H656" s="97"/>
      <c r="I656" s="98">
        <f>5/60</f>
        <v>8.3333333333333329E-2</v>
      </c>
      <c r="J656" s="110">
        <f>+I656*(1+Tiempos!$C$17)</f>
        <v>8.7708333333333333E-2</v>
      </c>
      <c r="K656" s="123">
        <f t="shared" si="128"/>
        <v>8.7708333333333333E-2</v>
      </c>
      <c r="L656" s="98">
        <f>+K656/Tiempos!$B$11</f>
        <v>1.9067028985507247E-4</v>
      </c>
      <c r="M656" s="261">
        <f>+K656/Tiempos!$B$12</f>
        <v>9.5335144927536234E-5</v>
      </c>
      <c r="N656" s="236"/>
      <c r="O656" s="236"/>
      <c r="P656" s="236"/>
      <c r="Q656" s="236"/>
    </row>
    <row r="657" spans="1:17" x14ac:dyDescent="0.35">
      <c r="A657" s="462"/>
      <c r="B657" s="462">
        <v>2</v>
      </c>
      <c r="C657" s="463">
        <v>1</v>
      </c>
      <c r="D657" s="463" t="s">
        <v>46</v>
      </c>
      <c r="E657" s="112" t="s">
        <v>58</v>
      </c>
      <c r="F657" s="393" t="str">
        <f t="shared" si="127"/>
        <v>ARM_ALM</v>
      </c>
      <c r="G657" s="155">
        <f>VLOOKUP(F657,Volumenes!$D$20:$F$222,3,FALSE)</f>
        <v>1</v>
      </c>
      <c r="H657" s="102">
        <f>VLOOKUP(F657,Tiempos!$D$42:$F$113,2,FALSE)</f>
        <v>55</v>
      </c>
      <c r="I657" s="103">
        <f>+(H657/Tiempos!$B$28/60)</f>
        <v>0.62273550724637683</v>
      </c>
      <c r="J657" s="111">
        <f>+I657*(1+Tiempos!$C$17)</f>
        <v>0.65542912137681164</v>
      </c>
      <c r="K657" s="146">
        <f t="shared" si="128"/>
        <v>0.65542912137681164</v>
      </c>
      <c r="L657" s="103">
        <f>+K657/Tiempos!$B$11</f>
        <v>1.4248459160365471E-3</v>
      </c>
      <c r="M657" s="262">
        <f>+K657/Tiempos!$B$12</f>
        <v>7.1242295801827353E-4</v>
      </c>
      <c r="N657" s="237"/>
      <c r="O657" s="237"/>
      <c r="P657" s="237"/>
      <c r="Q657" s="237"/>
    </row>
    <row r="658" spans="1:17" x14ac:dyDescent="0.35">
      <c r="A658" s="301"/>
      <c r="B658" s="301"/>
      <c r="C658" s="297"/>
      <c r="D658" s="297"/>
      <c r="E658" s="300"/>
      <c r="F658" s="75"/>
      <c r="G658" s="152"/>
      <c r="H658" s="105"/>
      <c r="I658" s="109"/>
      <c r="J658" s="107"/>
      <c r="K658" s="162"/>
      <c r="L658" s="98">
        <f>SUM(L648:L657)</f>
        <v>1.1911552434746255E-2</v>
      </c>
      <c r="M658" s="98">
        <f>SUM(M648:M657)</f>
        <v>5.9557762173731276E-3</v>
      </c>
      <c r="N658" s="295"/>
      <c r="O658" s="295"/>
      <c r="P658" s="295"/>
      <c r="Q658" s="295"/>
    </row>
    <row r="659" spans="1:17" x14ac:dyDescent="0.35">
      <c r="A659" s="466"/>
      <c r="B659" s="466"/>
      <c r="C659" s="138"/>
      <c r="D659" s="138"/>
      <c r="E659" s="120"/>
      <c r="F659" s="466"/>
      <c r="G659" s="152"/>
      <c r="H659" s="177"/>
      <c r="I659" s="109"/>
      <c r="J659" s="107"/>
      <c r="K659" s="162"/>
      <c r="L659" s="109"/>
      <c r="M659" s="109"/>
      <c r="N659" s="351"/>
      <c r="O659" s="351"/>
      <c r="P659" s="351"/>
      <c r="Q659" s="351"/>
    </row>
    <row r="660" spans="1:17" ht="13.15" x14ac:dyDescent="0.4">
      <c r="A660" s="84" t="s">
        <v>1086</v>
      </c>
      <c r="B660" s="84"/>
      <c r="C660" s="138"/>
      <c r="D660" s="138"/>
      <c r="E660" s="351"/>
      <c r="F660" s="75"/>
      <c r="G660" s="152"/>
      <c r="H660" s="105"/>
      <c r="I660" s="106"/>
      <c r="J660" s="107"/>
      <c r="K660" s="162"/>
      <c r="L660" s="109"/>
    </row>
    <row r="661" spans="1:17" x14ac:dyDescent="0.35">
      <c r="A661" s="464"/>
      <c r="B661" s="464">
        <v>2</v>
      </c>
      <c r="C661" s="465">
        <v>1</v>
      </c>
      <c r="D661" s="465" t="s">
        <v>327</v>
      </c>
      <c r="E661" s="99" t="s">
        <v>899</v>
      </c>
      <c r="F661" s="81" t="str">
        <f>+Volumenes!D37</f>
        <v>CHA_SANT_2D_AUT</v>
      </c>
      <c r="G661" s="143">
        <f>VLOOKUP(F661,Volumenes!$D$20:$F$222,3,FALSE)</f>
        <v>74.558298170546323</v>
      </c>
      <c r="H661" s="97"/>
      <c r="I661" s="98">
        <f>15/60</f>
        <v>0.25</v>
      </c>
      <c r="J661" s="110">
        <f>+I661*(1+Tiempos!$C$17)</f>
        <v>0.263125</v>
      </c>
      <c r="K661" s="123">
        <f t="shared" ref="K661:K665" si="129">+J661*G661</f>
        <v>19.618152206125</v>
      </c>
      <c r="L661" s="98">
        <f>+K661/Tiempos!$B$11</f>
        <v>4.2648156969836953E-2</v>
      </c>
      <c r="M661" s="261">
        <f>+K661/Tiempos!$B$12</f>
        <v>2.1324078484918477E-2</v>
      </c>
      <c r="N661" s="238"/>
      <c r="O661" s="238"/>
      <c r="P661" s="238"/>
      <c r="Q661" s="238"/>
    </row>
    <row r="662" spans="1:17" x14ac:dyDescent="0.35">
      <c r="A662" s="464"/>
      <c r="B662" s="464">
        <v>2</v>
      </c>
      <c r="C662" s="465">
        <v>1</v>
      </c>
      <c r="D662" s="465" t="s">
        <v>327</v>
      </c>
      <c r="E662" s="99" t="s">
        <v>900</v>
      </c>
      <c r="F662" s="81" t="str">
        <f>+F661</f>
        <v>CHA_SANT_2D_AUT</v>
      </c>
      <c r="G662" s="143">
        <f>VLOOKUP(F662,Volumenes!$D$20:$F$222,3,FALSE)</f>
        <v>74.558298170546323</v>
      </c>
      <c r="H662" s="97"/>
      <c r="I662" s="98">
        <f>8/60</f>
        <v>0.13333333333333333</v>
      </c>
      <c r="J662" s="110">
        <f>+I662*(1+Tiempos!$C$17)</f>
        <v>0.14033333333333334</v>
      </c>
      <c r="K662" s="123">
        <f t="shared" ref="K662" si="130">+J662*G662</f>
        <v>10.463014509933334</v>
      </c>
      <c r="L662" s="98">
        <f>+K662/Tiempos!$B$11</f>
        <v>2.274568371724638E-2</v>
      </c>
      <c r="M662" s="261">
        <f>+K662/Tiempos!$B$12</f>
        <v>1.137284185862319E-2</v>
      </c>
      <c r="N662" s="238"/>
      <c r="O662" s="238"/>
      <c r="P662" s="238"/>
      <c r="Q662" s="238"/>
    </row>
    <row r="663" spans="1:17" x14ac:dyDescent="0.35">
      <c r="A663" s="462"/>
      <c r="B663" s="462">
        <v>2</v>
      </c>
      <c r="C663" s="463">
        <v>1</v>
      </c>
      <c r="D663" s="463" t="s">
        <v>327</v>
      </c>
      <c r="E663" s="101" t="s">
        <v>435</v>
      </c>
      <c r="F663" s="92" t="str">
        <f>+F661</f>
        <v>CHA_SANT_2D_AUT</v>
      </c>
      <c r="G663" s="144">
        <f>VLOOKUP(F663,Volumenes!$D$20:$F$222,3,FALSE)</f>
        <v>74.558298170546323</v>
      </c>
      <c r="H663" s="102">
        <v>30</v>
      </c>
      <c r="I663" s="103">
        <f>+(H663/Tiempos!B29)/60</f>
        <v>0.25641025641025644</v>
      </c>
      <c r="J663" s="111">
        <f>+I663*(1+Tiempos!$C$17)</f>
        <v>0.26987179487179491</v>
      </c>
      <c r="K663" s="146">
        <f t="shared" si="129"/>
        <v>20.121181749871798</v>
      </c>
      <c r="L663" s="103">
        <f>+K663/Tiempos!$B$11</f>
        <v>4.3741699456243038E-2</v>
      </c>
      <c r="M663" s="262">
        <f>+K663/Tiempos!$B$12</f>
        <v>2.1870849728121519E-2</v>
      </c>
      <c r="N663" s="243"/>
      <c r="O663" s="243"/>
      <c r="P663" s="243"/>
      <c r="Q663" s="243"/>
    </row>
    <row r="664" spans="1:17" x14ac:dyDescent="0.35">
      <c r="A664" s="464"/>
      <c r="B664" s="464">
        <v>2</v>
      </c>
      <c r="C664" s="465">
        <v>1</v>
      </c>
      <c r="D664" s="465" t="s">
        <v>327</v>
      </c>
      <c r="E664" s="99" t="s">
        <v>169</v>
      </c>
      <c r="F664" s="81" t="str">
        <f>+F663</f>
        <v>CHA_SANT_2D_AUT</v>
      </c>
      <c r="G664" s="143">
        <f>VLOOKUP(F664,Volumenes!$D$20:$F$222,3,FALSE)</f>
        <v>74.558298170546323</v>
      </c>
      <c r="H664" s="97"/>
      <c r="I664" s="98">
        <f>25/60</f>
        <v>0.41666666666666669</v>
      </c>
      <c r="J664" s="110">
        <f>+I664*(1+Tiempos!$C$17)</f>
        <v>0.43854166666666666</v>
      </c>
      <c r="K664" s="123">
        <f t="shared" si="129"/>
        <v>32.69692034354167</v>
      </c>
      <c r="L664" s="98">
        <f>+K664/Tiempos!$B$11</f>
        <v>7.1080261616394941E-2</v>
      </c>
      <c r="M664" s="261">
        <f>+K664/Tiempos!$B$12</f>
        <v>3.554013080819747E-2</v>
      </c>
      <c r="N664" s="238"/>
      <c r="O664" s="238"/>
      <c r="P664" s="238"/>
      <c r="Q664" s="238"/>
    </row>
    <row r="665" spans="1:17" x14ac:dyDescent="0.35">
      <c r="A665" s="462"/>
      <c r="B665" s="462">
        <v>2</v>
      </c>
      <c r="C665" s="463">
        <v>1</v>
      </c>
      <c r="D665" s="463" t="s">
        <v>327</v>
      </c>
      <c r="E665" s="101" t="s">
        <v>436</v>
      </c>
      <c r="F665" s="92" t="str">
        <f>+F664</f>
        <v>CHA_SANT_2D_AUT</v>
      </c>
      <c r="G665" s="144">
        <f>VLOOKUP(F665,Volumenes!$D$20:$F$222,3,FALSE)</f>
        <v>74.558298170546323</v>
      </c>
      <c r="H665" s="102">
        <v>30</v>
      </c>
      <c r="I665" s="103">
        <f>+(H665/Tiempos!B29)/60</f>
        <v>0.25641025641025644</v>
      </c>
      <c r="J665" s="111">
        <f>+I665*(1+Tiempos!$C$17)</f>
        <v>0.26987179487179491</v>
      </c>
      <c r="K665" s="146">
        <f t="shared" si="129"/>
        <v>20.121181749871798</v>
      </c>
      <c r="L665" s="103">
        <f>+K665/Tiempos!$B$11</f>
        <v>4.3741699456243038E-2</v>
      </c>
      <c r="M665" s="262">
        <f>+K665/Tiempos!$B$12</f>
        <v>2.1870849728121519E-2</v>
      </c>
      <c r="N665" s="243"/>
      <c r="O665" s="243"/>
      <c r="P665" s="243"/>
      <c r="Q665" s="243"/>
    </row>
    <row r="666" spans="1:17" x14ac:dyDescent="0.35">
      <c r="A666" s="464"/>
      <c r="B666" s="464">
        <v>2</v>
      </c>
      <c r="C666" s="465">
        <v>1</v>
      </c>
      <c r="D666" s="465" t="s">
        <v>327</v>
      </c>
      <c r="E666" s="99" t="s">
        <v>904</v>
      </c>
      <c r="F666" s="81" t="str">
        <f>+Volumenes!D38</f>
        <v>CHA_SANT_RECH</v>
      </c>
      <c r="G666" s="143">
        <f>VLOOKUP(F666,Volumenes!$D$20:$F$222,3,FALSE)</f>
        <v>2.2367489451163896</v>
      </c>
      <c r="H666" s="97"/>
      <c r="I666" s="98">
        <f>15/60</f>
        <v>0.25</v>
      </c>
      <c r="J666" s="110">
        <f>+I666*(1+Tiempos!$C$17)</f>
        <v>0.263125</v>
      </c>
      <c r="K666" s="123">
        <f t="shared" ref="K666:K671" si="131">+J666*G666</f>
        <v>0.58854456618374995</v>
      </c>
      <c r="L666" s="98">
        <f>+K666/Tiempos!$B$11</f>
        <v>1.2794447090951086E-3</v>
      </c>
      <c r="M666" s="261">
        <f>+K666/Tiempos!$B$12</f>
        <v>6.397223545475543E-4</v>
      </c>
      <c r="N666" s="238"/>
      <c r="O666" s="238"/>
      <c r="P666" s="238"/>
      <c r="Q666" s="238"/>
    </row>
    <row r="667" spans="1:17" x14ac:dyDescent="0.35">
      <c r="A667" s="462"/>
      <c r="B667" s="462">
        <v>2</v>
      </c>
      <c r="C667" s="463">
        <v>1</v>
      </c>
      <c r="D667" s="463" t="s">
        <v>327</v>
      </c>
      <c r="E667" s="101" t="s">
        <v>901</v>
      </c>
      <c r="F667" s="92" t="str">
        <f>+F666</f>
        <v>CHA_SANT_RECH</v>
      </c>
      <c r="G667" s="144">
        <f>VLOOKUP(F667,Volumenes!$D$20:$F$222,3,FALSE)</f>
        <v>2.2367489451163896</v>
      </c>
      <c r="H667" s="102">
        <v>30</v>
      </c>
      <c r="I667" s="103">
        <f>+H667/Tiempos!$B$29/60</f>
        <v>0.25641025641025644</v>
      </c>
      <c r="J667" s="111">
        <f>+I667*(1+Tiempos!$C$17)</f>
        <v>0.26987179487179491</v>
      </c>
      <c r="K667" s="146">
        <f t="shared" si="131"/>
        <v>0.60363545249615391</v>
      </c>
      <c r="L667" s="103">
        <f>+K667/Tiempos!$B$11</f>
        <v>1.3122509836872912E-3</v>
      </c>
      <c r="M667" s="262">
        <f>+K667/Tiempos!$B$12</f>
        <v>6.5612549184364559E-4</v>
      </c>
      <c r="N667" s="243"/>
      <c r="O667" s="243"/>
      <c r="P667" s="243"/>
      <c r="Q667" s="243"/>
    </row>
    <row r="668" spans="1:17" x14ac:dyDescent="0.35">
      <c r="A668" s="464"/>
      <c r="B668" s="464">
        <v>2</v>
      </c>
      <c r="C668" s="465">
        <v>1</v>
      </c>
      <c r="D668" s="465" t="s">
        <v>327</v>
      </c>
      <c r="E668" s="99" t="s">
        <v>902</v>
      </c>
      <c r="F668" s="81" t="str">
        <f>+F667</f>
        <v>CHA_SANT_RECH</v>
      </c>
      <c r="G668" s="143">
        <f>VLOOKUP(F668,Volumenes!$D$20:$F$222,3,FALSE)</f>
        <v>2.2367489451163896</v>
      </c>
      <c r="H668" s="97"/>
      <c r="I668" s="98">
        <f>15/60</f>
        <v>0.25</v>
      </c>
      <c r="J668" s="110">
        <f>+I668*(1+Tiempos!$C$17)</f>
        <v>0.263125</v>
      </c>
      <c r="K668" s="123">
        <f t="shared" si="131"/>
        <v>0.58854456618374995</v>
      </c>
      <c r="L668" s="98">
        <f>+K668/Tiempos!$B$11</f>
        <v>1.2794447090951086E-3</v>
      </c>
      <c r="M668" s="261">
        <f>+K668/Tiempos!$B$12</f>
        <v>6.397223545475543E-4</v>
      </c>
      <c r="N668" s="238"/>
      <c r="O668" s="238"/>
      <c r="P668" s="238"/>
      <c r="Q668" s="238"/>
    </row>
    <row r="669" spans="1:17" x14ac:dyDescent="0.35">
      <c r="A669" s="464"/>
      <c r="B669" s="464">
        <v>2</v>
      </c>
      <c r="C669" s="465">
        <v>1</v>
      </c>
      <c r="D669" s="465" t="s">
        <v>327</v>
      </c>
      <c r="E669" s="99" t="s">
        <v>903</v>
      </c>
      <c r="F669" s="81" t="str">
        <f>+F668</f>
        <v>CHA_SANT_RECH</v>
      </c>
      <c r="G669" s="143">
        <f>VLOOKUP(F669,Volumenes!$D$20:$F$222,3,FALSE)</f>
        <v>2.2367489451163896</v>
      </c>
      <c r="H669" s="97"/>
      <c r="I669" s="98">
        <f>15/60</f>
        <v>0.25</v>
      </c>
      <c r="J669" s="110">
        <f>+I669*(1+Tiempos!$C$17)</f>
        <v>0.263125</v>
      </c>
      <c r="K669" s="123">
        <f t="shared" si="131"/>
        <v>0.58854456618374995</v>
      </c>
      <c r="L669" s="98">
        <f>+K669/Tiempos!$B$11</f>
        <v>1.2794447090951086E-3</v>
      </c>
      <c r="M669" s="261">
        <f>+K669/Tiempos!$B$12</f>
        <v>6.397223545475543E-4</v>
      </c>
      <c r="N669" s="238"/>
      <c r="O669" s="238"/>
      <c r="P669" s="238"/>
      <c r="Q669" s="238"/>
    </row>
    <row r="670" spans="1:17" x14ac:dyDescent="0.35">
      <c r="A670" s="462"/>
      <c r="B670" s="462">
        <v>2</v>
      </c>
      <c r="C670" s="463">
        <v>1</v>
      </c>
      <c r="D670" s="463" t="s">
        <v>327</v>
      </c>
      <c r="E670" s="101" t="s">
        <v>737</v>
      </c>
      <c r="F670" s="92" t="str">
        <f>+F669</f>
        <v>CHA_SANT_RECH</v>
      </c>
      <c r="G670" s="144">
        <f>VLOOKUP(F670,Volumenes!$D$20:$F$222,3,FALSE)</f>
        <v>2.2367489451163896</v>
      </c>
      <c r="H670" s="102">
        <v>10</v>
      </c>
      <c r="I670" s="103">
        <f>+H670/Tiempos!$B$29/60</f>
        <v>8.5470085470085472E-2</v>
      </c>
      <c r="J670" s="111">
        <f>+I670*(1+Tiempos!$C$17)</f>
        <v>8.9957264957264957E-2</v>
      </c>
      <c r="K670" s="146">
        <f t="shared" si="131"/>
        <v>0.20121181749871794</v>
      </c>
      <c r="L670" s="103">
        <f>+K670/Tiempos!$B$11</f>
        <v>4.3741699456243034E-4</v>
      </c>
      <c r="M670" s="262">
        <f>+K670/Tiempos!$B$12</f>
        <v>2.1870849728121517E-4</v>
      </c>
      <c r="N670" s="243"/>
      <c r="O670" s="243"/>
      <c r="P670" s="243"/>
      <c r="Q670" s="243"/>
    </row>
    <row r="671" spans="1:17" x14ac:dyDescent="0.35">
      <c r="A671" s="464"/>
      <c r="B671" s="464">
        <v>2</v>
      </c>
      <c r="C671" s="465">
        <v>1</v>
      </c>
      <c r="D671" s="465" t="s">
        <v>327</v>
      </c>
      <c r="E671" s="99" t="s">
        <v>905</v>
      </c>
      <c r="F671" s="81" t="str">
        <f>+F670</f>
        <v>CHA_SANT_RECH</v>
      </c>
      <c r="G671" s="143">
        <f>VLOOKUP(F671,Volumenes!$D$20:$F$222,3,FALSE)</f>
        <v>2.2367489451163896</v>
      </c>
      <c r="H671" s="97"/>
      <c r="I671" s="98">
        <f>25/60</f>
        <v>0.41666666666666669</v>
      </c>
      <c r="J671" s="110">
        <f>+I671*(1+Tiempos!$C$17)</f>
        <v>0.43854166666666666</v>
      </c>
      <c r="K671" s="123">
        <f t="shared" si="131"/>
        <v>0.98090761030624996</v>
      </c>
      <c r="L671" s="98">
        <f>+K671/Tiempos!$B$11</f>
        <v>2.1324078484918478E-3</v>
      </c>
      <c r="M671" s="261">
        <f>+K671/Tiempos!$B$12</f>
        <v>1.0662039242459239E-3</v>
      </c>
      <c r="N671" s="238"/>
      <c r="O671" s="238"/>
      <c r="P671" s="238"/>
      <c r="Q671" s="238"/>
    </row>
    <row r="672" spans="1:17" ht="13.9" x14ac:dyDescent="0.4">
      <c r="A672" s="298"/>
      <c r="B672" s="298"/>
      <c r="C672" s="297"/>
      <c r="D672" s="297"/>
      <c r="E672" s="299"/>
      <c r="G672" s="153"/>
      <c r="K672" s="82"/>
      <c r="L672" s="86">
        <f>SUM(L661:L671)</f>
        <v>0.2316779111699912</v>
      </c>
      <c r="M672" s="86">
        <f>SUM(M661:M671)</f>
        <v>0.1158389555849956</v>
      </c>
      <c r="N672" s="86">
        <f>SUM(N661:N665)</f>
        <v>0</v>
      </c>
      <c r="O672" s="86">
        <f>SUM(O661:O665)</f>
        <v>0</v>
      </c>
      <c r="P672" s="86">
        <f>SUM(P661:P665)</f>
        <v>0</v>
      </c>
      <c r="Q672" s="86">
        <f>SUM(Q661:Q665)</f>
        <v>0</v>
      </c>
    </row>
    <row r="673" spans="1:17" ht="13.9" x14ac:dyDescent="0.4">
      <c r="A673" s="461"/>
      <c r="B673" s="75"/>
      <c r="E673" s="104"/>
      <c r="F673" s="75"/>
      <c r="G673" s="108"/>
      <c r="H673" s="105"/>
      <c r="I673" s="106"/>
      <c r="J673" s="107"/>
      <c r="K673" s="109"/>
      <c r="L673" s="109"/>
      <c r="M673" s="109"/>
      <c r="N673" s="249"/>
      <c r="O673" s="249"/>
      <c r="P673" s="249"/>
      <c r="Q673" s="249"/>
    </row>
    <row r="674" spans="1:17" ht="13.15" x14ac:dyDescent="0.4">
      <c r="A674" s="296" t="s">
        <v>910</v>
      </c>
      <c r="B674" s="296"/>
      <c r="C674" s="138"/>
      <c r="D674" s="138"/>
      <c r="E674" s="120"/>
      <c r="F674" s="75"/>
      <c r="G674" s="152"/>
      <c r="H674" s="177"/>
      <c r="I674" s="109"/>
      <c r="J674" s="107"/>
      <c r="K674" s="162"/>
      <c r="L674" s="109"/>
      <c r="M674" s="45"/>
      <c r="N674" s="45"/>
      <c r="O674" s="45"/>
      <c r="P674" s="45"/>
      <c r="Q674" s="45"/>
    </row>
    <row r="675" spans="1:17" s="70" customFormat="1" x14ac:dyDescent="0.35">
      <c r="A675" s="464"/>
      <c r="B675" s="464">
        <v>2</v>
      </c>
      <c r="C675" s="465">
        <v>1</v>
      </c>
      <c r="D675" s="465" t="s">
        <v>327</v>
      </c>
      <c r="E675" s="113" t="s">
        <v>911</v>
      </c>
      <c r="F675" s="478" t="str">
        <f>+Volumenes!D205</f>
        <v>ARM_ALM</v>
      </c>
      <c r="G675" s="180">
        <f>VLOOKUP(F675,Volumenes!$D$20:$F$222,3,FALSE)</f>
        <v>1</v>
      </c>
      <c r="H675" s="97"/>
      <c r="I675" s="98">
        <f>15/60</f>
        <v>0.25</v>
      </c>
      <c r="J675" s="110">
        <f>+I675*(1+Tiempos!$C$17)</f>
        <v>0.263125</v>
      </c>
      <c r="K675" s="123">
        <f t="shared" ref="K675:K678" si="132">+J675*G675</f>
        <v>0.263125</v>
      </c>
      <c r="L675" s="98">
        <f>+K675/Tiempos!$B$11</f>
        <v>5.7201086956521743E-4</v>
      </c>
      <c r="M675" s="261">
        <f>+K675/Tiempos!$B$12</f>
        <v>2.8600543478260872E-4</v>
      </c>
      <c r="N675" s="236"/>
      <c r="O675" s="236"/>
      <c r="P675" s="236"/>
      <c r="Q675" s="236"/>
    </row>
    <row r="676" spans="1:17" s="70" customFormat="1" x14ac:dyDescent="0.35">
      <c r="A676" s="462"/>
      <c r="B676" s="462">
        <v>2</v>
      </c>
      <c r="C676" s="463">
        <v>1</v>
      </c>
      <c r="D676" s="463" t="s">
        <v>327</v>
      </c>
      <c r="E676" s="112" t="s">
        <v>912</v>
      </c>
      <c r="F676" s="477" t="str">
        <f>+F675</f>
        <v>ARM_ALM</v>
      </c>
      <c r="G676" s="155">
        <f>VLOOKUP(F676,Volumenes!$D$20:$F$222,3,FALSE)</f>
        <v>1</v>
      </c>
      <c r="H676" s="155">
        <v>40</v>
      </c>
      <c r="I676" s="103">
        <f>+H676/Tiempos!B29/60</f>
        <v>0.34188034188034189</v>
      </c>
      <c r="J676" s="111">
        <f>+I676*(1+Tiempos!$C$17)</f>
        <v>0.35982905982905983</v>
      </c>
      <c r="K676" s="146">
        <f t="shared" si="132"/>
        <v>0.35982905982905983</v>
      </c>
      <c r="L676" s="103">
        <f>+K676/Tiempos!$B$11</f>
        <v>7.8223708658491271E-4</v>
      </c>
      <c r="M676" s="262">
        <f>+K676/Tiempos!$B$12</f>
        <v>3.9111854329245636E-4</v>
      </c>
      <c r="N676" s="237"/>
      <c r="O676" s="237"/>
      <c r="P676" s="237"/>
      <c r="Q676" s="237"/>
    </row>
    <row r="677" spans="1:17" s="70" customFormat="1" x14ac:dyDescent="0.35">
      <c r="A677" s="464"/>
      <c r="B677" s="464">
        <v>2</v>
      </c>
      <c r="C677" s="465">
        <v>1</v>
      </c>
      <c r="D677" s="465" t="s">
        <v>327</v>
      </c>
      <c r="E677" s="113" t="s">
        <v>913</v>
      </c>
      <c r="F677" s="478" t="str">
        <f>+F676</f>
        <v>ARM_ALM</v>
      </c>
      <c r="G677" s="180">
        <f>VLOOKUP(F677,Volumenes!$D$20:$F$222,3,FALSE)</f>
        <v>1</v>
      </c>
      <c r="H677" s="97"/>
      <c r="I677" s="98">
        <f>20/60</f>
        <v>0.33333333333333331</v>
      </c>
      <c r="J677" s="110">
        <f>+I677*(1+Tiempos!$C$17)</f>
        <v>0.35083333333333333</v>
      </c>
      <c r="K677" s="123">
        <f t="shared" si="132"/>
        <v>0.35083333333333333</v>
      </c>
      <c r="L677" s="98">
        <f>+K677/Tiempos!$B$11</f>
        <v>7.6268115942028987E-4</v>
      </c>
      <c r="M677" s="261">
        <f>+K677/Tiempos!$B$12</f>
        <v>3.8134057971014494E-4</v>
      </c>
      <c r="N677" s="236"/>
      <c r="O677" s="236"/>
      <c r="P677" s="236"/>
      <c r="Q677" s="236"/>
    </row>
    <row r="678" spans="1:17" x14ac:dyDescent="0.35">
      <c r="A678" s="462"/>
      <c r="B678" s="462">
        <v>2</v>
      </c>
      <c r="C678" s="463">
        <v>1</v>
      </c>
      <c r="D678" s="463" t="s">
        <v>46</v>
      </c>
      <c r="E678" s="112" t="s">
        <v>914</v>
      </c>
      <c r="F678" s="393" t="str">
        <f>+F677</f>
        <v>ARM_ALM</v>
      </c>
      <c r="G678" s="155">
        <f>VLOOKUP(F678,Volumenes!$D$20:$F$222,3,FALSE)</f>
        <v>1</v>
      </c>
      <c r="H678" s="102">
        <v>40</v>
      </c>
      <c r="I678" s="103">
        <f>+H678/Tiempos!B29/60</f>
        <v>0.34188034188034189</v>
      </c>
      <c r="J678" s="111">
        <f>+I678*(1+Tiempos!$C$17)</f>
        <v>0.35982905982905983</v>
      </c>
      <c r="K678" s="146">
        <f t="shared" si="132"/>
        <v>0.35982905982905983</v>
      </c>
      <c r="L678" s="103">
        <f>+K678/Tiempos!$B$11</f>
        <v>7.8223708658491271E-4</v>
      </c>
      <c r="M678" s="262">
        <f>+K678/Tiempos!$B$12</f>
        <v>3.9111854329245636E-4</v>
      </c>
      <c r="N678" s="237"/>
      <c r="O678" s="237"/>
      <c r="P678" s="237"/>
      <c r="Q678" s="237"/>
    </row>
    <row r="679" spans="1:17" x14ac:dyDescent="0.35">
      <c r="A679" s="301"/>
      <c r="B679" s="301"/>
      <c r="C679" s="297"/>
      <c r="D679" s="297"/>
      <c r="E679" s="300"/>
      <c r="F679" s="75"/>
      <c r="G679" s="152"/>
      <c r="H679" s="105"/>
      <c r="I679" s="109"/>
      <c r="J679" s="107"/>
      <c r="K679" s="162"/>
      <c r="L679" s="98">
        <f>SUM(L675:L678)</f>
        <v>2.8991662021553327E-3</v>
      </c>
      <c r="M679" s="98">
        <f>SUM(M675:M678)</f>
        <v>1.4495831010776664E-3</v>
      </c>
      <c r="N679" s="295"/>
      <c r="O679" s="295"/>
      <c r="P679" s="295"/>
      <c r="Q679" s="295"/>
    </row>
    <row r="680" spans="1:17" ht="13.9" x14ac:dyDescent="0.4">
      <c r="A680" s="461"/>
      <c r="B680" s="75"/>
      <c r="E680" s="104"/>
      <c r="F680" s="75"/>
      <c r="G680" s="108"/>
      <c r="H680" s="105"/>
      <c r="I680" s="106"/>
      <c r="J680" s="107"/>
      <c r="K680" s="109"/>
      <c r="L680" s="109"/>
      <c r="M680" s="109"/>
      <c r="N680" s="249"/>
      <c r="O680" s="249"/>
      <c r="P680" s="249"/>
      <c r="Q680" s="249"/>
    </row>
    <row r="681" spans="1:17" ht="13.15" x14ac:dyDescent="0.4">
      <c r="A681" s="84" t="s">
        <v>923</v>
      </c>
      <c r="B681" s="84"/>
      <c r="C681" s="138"/>
      <c r="D681" s="138"/>
      <c r="E681" s="351"/>
      <c r="F681" s="75"/>
      <c r="G681" s="152"/>
      <c r="H681" s="105"/>
      <c r="I681" s="106"/>
      <c r="J681" s="107"/>
      <c r="K681" s="162"/>
      <c r="L681" s="109"/>
    </row>
    <row r="682" spans="1:17" x14ac:dyDescent="0.35">
      <c r="A682" s="464"/>
      <c r="B682" s="464">
        <v>2</v>
      </c>
      <c r="C682" s="465">
        <v>1</v>
      </c>
      <c r="D682" s="465" t="s">
        <v>327</v>
      </c>
      <c r="E682" s="99" t="s">
        <v>924</v>
      </c>
      <c r="F682" s="81" t="str">
        <f>+Volumenes!D92</f>
        <v>CHI_AUTO</v>
      </c>
      <c r="G682" s="143">
        <f>VLOOKUP(F682,Volumenes!$D$20:$F$222,3,FALSE)</f>
        <v>6.8</v>
      </c>
      <c r="H682" s="97"/>
      <c r="I682" s="98">
        <f>15/60</f>
        <v>0.25</v>
      </c>
      <c r="J682" s="110">
        <f>+I682*(1+Tiempos!$C$17)</f>
        <v>0.263125</v>
      </c>
      <c r="K682" s="123">
        <f>+J682*G682</f>
        <v>1.78925</v>
      </c>
      <c r="L682" s="98">
        <f>+K682/Tiempos!$B$11</f>
        <v>3.8896739130434782E-3</v>
      </c>
      <c r="M682" s="261">
        <f>+K682/Tiempos!$B$12</f>
        <v>1.9448369565217391E-3</v>
      </c>
      <c r="N682" s="238"/>
      <c r="O682" s="238"/>
      <c r="P682" s="238"/>
      <c r="Q682" s="238"/>
    </row>
    <row r="683" spans="1:17" x14ac:dyDescent="0.35">
      <c r="A683" s="464"/>
      <c r="B683" s="464">
        <v>2</v>
      </c>
      <c r="C683" s="465">
        <v>1</v>
      </c>
      <c r="D683" s="465" t="s">
        <v>327</v>
      </c>
      <c r="E683" s="99" t="s">
        <v>900</v>
      </c>
      <c r="F683" s="81" t="str">
        <f>+F682</f>
        <v>CHI_AUTO</v>
      </c>
      <c r="G683" s="143">
        <f>VLOOKUP(F683,Volumenes!$D$20:$F$222,3,FALSE)</f>
        <v>6.8</v>
      </c>
      <c r="H683" s="97"/>
      <c r="I683" s="98">
        <f>8/60</f>
        <v>0.13333333333333333</v>
      </c>
      <c r="J683" s="110">
        <f>+I683*(1+Tiempos!$C$17)</f>
        <v>0.14033333333333334</v>
      </c>
      <c r="K683" s="123">
        <f t="shared" ref="K683:K692" si="133">+J683*G683</f>
        <v>0.95426666666666671</v>
      </c>
      <c r="L683" s="98">
        <f>+K683/Tiempos!$B$11</f>
        <v>2.0744927536231884E-3</v>
      </c>
      <c r="M683" s="261">
        <f>+K683/Tiempos!$B$12</f>
        <v>1.0372463768115942E-3</v>
      </c>
      <c r="N683" s="238"/>
      <c r="O683" s="238"/>
      <c r="P683" s="238"/>
      <c r="Q683" s="238"/>
    </row>
    <row r="684" spans="1:17" x14ac:dyDescent="0.35">
      <c r="A684" s="462"/>
      <c r="B684" s="462">
        <v>2</v>
      </c>
      <c r="C684" s="463">
        <v>1</v>
      </c>
      <c r="D684" s="463" t="s">
        <v>327</v>
      </c>
      <c r="E684" s="101" t="s">
        <v>435</v>
      </c>
      <c r="F684" s="92" t="str">
        <f>+F682</f>
        <v>CHI_AUTO</v>
      </c>
      <c r="G684" s="144">
        <f>VLOOKUP(F684,Volumenes!$D$20:$F$222,3,FALSE)</f>
        <v>6.8</v>
      </c>
      <c r="H684" s="102">
        <v>35</v>
      </c>
      <c r="I684" s="103">
        <f>+H684/Tiempos!$B$29/60</f>
        <v>0.29914529914529914</v>
      </c>
      <c r="J684" s="111">
        <f>+I684*(1+Tiempos!$C$17)</f>
        <v>0.31485042735042734</v>
      </c>
      <c r="K684" s="146">
        <f t="shared" si="133"/>
        <v>2.1409829059829057</v>
      </c>
      <c r="L684" s="103">
        <f>+K684/Tiempos!$B$11</f>
        <v>4.6543106651802295E-3</v>
      </c>
      <c r="M684" s="262">
        <f>+K684/Tiempos!$B$12</f>
        <v>2.3271553325901148E-3</v>
      </c>
      <c r="N684" s="243"/>
      <c r="O684" s="243"/>
      <c r="P684" s="243"/>
      <c r="Q684" s="243"/>
    </row>
    <row r="685" spans="1:17" x14ac:dyDescent="0.35">
      <c r="A685" s="464"/>
      <c r="B685" s="464">
        <v>2</v>
      </c>
      <c r="C685" s="465">
        <v>1</v>
      </c>
      <c r="D685" s="465" t="s">
        <v>327</v>
      </c>
      <c r="E685" s="99" t="s">
        <v>169</v>
      </c>
      <c r="F685" s="81" t="str">
        <f>+F684</f>
        <v>CHI_AUTO</v>
      </c>
      <c r="G685" s="143">
        <f>VLOOKUP(F685,Volumenes!$D$20:$F$222,3,FALSE)</f>
        <v>6.8</v>
      </c>
      <c r="H685" s="97"/>
      <c r="I685" s="98">
        <f>30/60</f>
        <v>0.5</v>
      </c>
      <c r="J685" s="110">
        <f>+I685*(1+Tiempos!$C$17)</f>
        <v>0.52625</v>
      </c>
      <c r="K685" s="123">
        <f t="shared" si="133"/>
        <v>3.5785</v>
      </c>
      <c r="L685" s="98">
        <f>+K685/Tiempos!$B$11</f>
        <v>7.7793478260869565E-3</v>
      </c>
      <c r="M685" s="261">
        <f>+K685/Tiempos!$B$12</f>
        <v>3.8896739130434782E-3</v>
      </c>
      <c r="N685" s="238"/>
      <c r="O685" s="238"/>
      <c r="P685" s="238"/>
      <c r="Q685" s="238"/>
    </row>
    <row r="686" spans="1:17" x14ac:dyDescent="0.35">
      <c r="A686" s="462"/>
      <c r="B686" s="462">
        <v>2</v>
      </c>
      <c r="C686" s="463">
        <v>1</v>
      </c>
      <c r="D686" s="463" t="s">
        <v>327</v>
      </c>
      <c r="E686" s="101" t="s">
        <v>436</v>
      </c>
      <c r="F686" s="92" t="str">
        <f>+F685</f>
        <v>CHI_AUTO</v>
      </c>
      <c r="G686" s="144">
        <f>VLOOKUP(F686,Volumenes!$D$20:$F$222,3,FALSE)</f>
        <v>6.8</v>
      </c>
      <c r="H686" s="102">
        <v>35</v>
      </c>
      <c r="I686" s="103">
        <f>+H686/Tiempos!$B$29/60</f>
        <v>0.29914529914529914</v>
      </c>
      <c r="J686" s="111">
        <f>+I686*(1+Tiempos!$C$17)</f>
        <v>0.31485042735042734</v>
      </c>
      <c r="K686" s="146">
        <f t="shared" si="133"/>
        <v>2.1409829059829057</v>
      </c>
      <c r="L686" s="103">
        <f>+K686/Tiempos!$B$11</f>
        <v>4.6543106651802295E-3</v>
      </c>
      <c r="M686" s="262">
        <f>+K686/Tiempos!$B$12</f>
        <v>2.3271553325901148E-3</v>
      </c>
      <c r="N686" s="243"/>
      <c r="O686" s="243"/>
      <c r="P686" s="243"/>
      <c r="Q686" s="243"/>
    </row>
    <row r="687" spans="1:17" x14ac:dyDescent="0.35">
      <c r="A687" s="464"/>
      <c r="B687" s="464">
        <v>2</v>
      </c>
      <c r="C687" s="465">
        <v>1</v>
      </c>
      <c r="D687" s="465" t="s">
        <v>327</v>
      </c>
      <c r="E687" s="99" t="s">
        <v>904</v>
      </c>
      <c r="F687" s="81" t="str">
        <f>+Volumenes!D93</f>
        <v>CHI_AUTO_RECH</v>
      </c>
      <c r="G687" s="143">
        <f>VLOOKUP(F687,Volumenes!$D$20:$F$222,3,FALSE)</f>
        <v>0.20399999999999999</v>
      </c>
      <c r="H687" s="97"/>
      <c r="I687" s="98">
        <f>15/60</f>
        <v>0.25</v>
      </c>
      <c r="J687" s="110">
        <f>+I687*(1+Tiempos!$C$17)</f>
        <v>0.263125</v>
      </c>
      <c r="K687" s="123">
        <f t="shared" si="133"/>
        <v>5.3677499999999996E-2</v>
      </c>
      <c r="L687" s="98">
        <f>+K687/Tiempos!$B$11</f>
        <v>1.1669021739130434E-4</v>
      </c>
      <c r="M687" s="261">
        <f>+K687/Tiempos!$B$12</f>
        <v>5.8345108695652168E-5</v>
      </c>
      <c r="N687" s="238"/>
      <c r="O687" s="238"/>
      <c r="P687" s="238"/>
      <c r="Q687" s="238"/>
    </row>
    <row r="688" spans="1:17" x14ac:dyDescent="0.35">
      <c r="A688" s="462"/>
      <c r="B688" s="462">
        <v>2</v>
      </c>
      <c r="C688" s="463">
        <v>1</v>
      </c>
      <c r="D688" s="463" t="s">
        <v>327</v>
      </c>
      <c r="E688" s="101" t="s">
        <v>901</v>
      </c>
      <c r="F688" s="92" t="str">
        <f>+F687</f>
        <v>CHI_AUTO_RECH</v>
      </c>
      <c r="G688" s="144">
        <f>VLOOKUP(F688,Volumenes!$D$20:$F$222,3,FALSE)</f>
        <v>0.20399999999999999</v>
      </c>
      <c r="H688" s="102">
        <v>35</v>
      </c>
      <c r="I688" s="103">
        <f>+H688/Tiempos!$B$29/60</f>
        <v>0.29914529914529914</v>
      </c>
      <c r="J688" s="111">
        <f>+I688*(1+Tiempos!$C$17)</f>
        <v>0.31485042735042734</v>
      </c>
      <c r="K688" s="146">
        <f t="shared" si="133"/>
        <v>6.4229487179487177E-2</v>
      </c>
      <c r="L688" s="103">
        <f>+K688/Tiempos!$B$11</f>
        <v>1.396293199554069E-4</v>
      </c>
      <c r="M688" s="262">
        <f>+K688/Tiempos!$B$12</f>
        <v>6.9814659977703448E-5</v>
      </c>
      <c r="N688" s="243"/>
      <c r="O688" s="243"/>
      <c r="P688" s="243"/>
      <c r="Q688" s="243"/>
    </row>
    <row r="689" spans="1:17" x14ac:dyDescent="0.35">
      <c r="A689" s="464"/>
      <c r="B689" s="464">
        <v>2</v>
      </c>
      <c r="C689" s="465">
        <v>1</v>
      </c>
      <c r="D689" s="465" t="s">
        <v>327</v>
      </c>
      <c r="E689" s="99" t="s">
        <v>902</v>
      </c>
      <c r="F689" s="81" t="str">
        <f>+F688</f>
        <v>CHI_AUTO_RECH</v>
      </c>
      <c r="G689" s="143">
        <f>VLOOKUP(F689,Volumenes!$D$20:$F$222,3,FALSE)</f>
        <v>0.20399999999999999</v>
      </c>
      <c r="H689" s="97"/>
      <c r="I689" s="98">
        <f>15/60</f>
        <v>0.25</v>
      </c>
      <c r="J689" s="110">
        <f>+I689*(1+Tiempos!$C$17)</f>
        <v>0.263125</v>
      </c>
      <c r="K689" s="123">
        <f t="shared" si="133"/>
        <v>5.3677499999999996E-2</v>
      </c>
      <c r="L689" s="98">
        <f>+K689/Tiempos!$B$11</f>
        <v>1.1669021739130434E-4</v>
      </c>
      <c r="M689" s="261">
        <f>+K689/Tiempos!$B$12</f>
        <v>5.8345108695652168E-5</v>
      </c>
      <c r="N689" s="238"/>
      <c r="O689" s="238"/>
      <c r="P689" s="238"/>
      <c r="Q689" s="238"/>
    </row>
    <row r="690" spans="1:17" x14ac:dyDescent="0.35">
      <c r="A690" s="464"/>
      <c r="B690" s="464">
        <v>2</v>
      </c>
      <c r="C690" s="465">
        <v>1</v>
      </c>
      <c r="D690" s="465" t="s">
        <v>327</v>
      </c>
      <c r="E690" s="99" t="s">
        <v>903</v>
      </c>
      <c r="F690" s="81" t="str">
        <f>+F689</f>
        <v>CHI_AUTO_RECH</v>
      </c>
      <c r="G690" s="143">
        <f>VLOOKUP(F690,Volumenes!$D$20:$F$222,3,FALSE)</f>
        <v>0.20399999999999999</v>
      </c>
      <c r="H690" s="97"/>
      <c r="I690" s="98">
        <f>15/60</f>
        <v>0.25</v>
      </c>
      <c r="J690" s="110">
        <f>+I690*(1+Tiempos!$C$17)</f>
        <v>0.263125</v>
      </c>
      <c r="K690" s="123">
        <f t="shared" si="133"/>
        <v>5.3677499999999996E-2</v>
      </c>
      <c r="L690" s="98">
        <f>+K690/Tiempos!$B$11</f>
        <v>1.1669021739130434E-4</v>
      </c>
      <c r="M690" s="261">
        <f>+K690/Tiempos!$B$12</f>
        <v>5.8345108695652168E-5</v>
      </c>
      <c r="N690" s="238"/>
      <c r="O690" s="238"/>
      <c r="P690" s="238"/>
      <c r="Q690" s="238"/>
    </row>
    <row r="691" spans="1:17" x14ac:dyDescent="0.35">
      <c r="A691" s="462"/>
      <c r="B691" s="462">
        <v>2</v>
      </c>
      <c r="C691" s="463">
        <v>1</v>
      </c>
      <c r="D691" s="463" t="s">
        <v>327</v>
      </c>
      <c r="E691" s="101" t="s">
        <v>737</v>
      </c>
      <c r="F691" s="92" t="str">
        <f>+F690</f>
        <v>CHI_AUTO_RECH</v>
      </c>
      <c r="G691" s="144">
        <f>VLOOKUP(F691,Volumenes!$D$20:$F$222,3,FALSE)</f>
        <v>0.20399999999999999</v>
      </c>
      <c r="H691" s="102">
        <v>10</v>
      </c>
      <c r="I691" s="103">
        <f>+H691/Tiempos!$B$29/60</f>
        <v>8.5470085470085472E-2</v>
      </c>
      <c r="J691" s="111">
        <f>+I691*(1+Tiempos!$C$17)</f>
        <v>8.9957264957264957E-2</v>
      </c>
      <c r="K691" s="146">
        <f t="shared" si="133"/>
        <v>1.8351282051282052E-2</v>
      </c>
      <c r="L691" s="103">
        <f>+K691/Tiempos!$B$11</f>
        <v>3.9894091415830548E-5</v>
      </c>
      <c r="M691" s="262">
        <f>+K691/Tiempos!$B$12</f>
        <v>1.9947045707915274E-5</v>
      </c>
      <c r="N691" s="243"/>
      <c r="O691" s="243"/>
      <c r="P691" s="243"/>
      <c r="Q691" s="243"/>
    </row>
    <row r="692" spans="1:17" x14ac:dyDescent="0.35">
      <c r="A692" s="464"/>
      <c r="B692" s="464">
        <v>2</v>
      </c>
      <c r="C692" s="465">
        <v>1</v>
      </c>
      <c r="D692" s="465" t="s">
        <v>327</v>
      </c>
      <c r="E692" s="99" t="s">
        <v>905</v>
      </c>
      <c r="F692" s="81" t="str">
        <f>+F691</f>
        <v>CHI_AUTO_RECH</v>
      </c>
      <c r="G692" s="143">
        <f>VLOOKUP(F692,Volumenes!$D$20:$F$222,3,FALSE)</f>
        <v>0.20399999999999999</v>
      </c>
      <c r="H692" s="97"/>
      <c r="I692" s="98">
        <f>25/60</f>
        <v>0.41666666666666669</v>
      </c>
      <c r="J692" s="110">
        <f>+I692*(1+Tiempos!$C$17)</f>
        <v>0.43854166666666666</v>
      </c>
      <c r="K692" s="123">
        <f t="shared" si="133"/>
        <v>8.94625E-2</v>
      </c>
      <c r="L692" s="98">
        <f>+K692/Tiempos!$B$11</f>
        <v>1.944836956521739E-4</v>
      </c>
      <c r="M692" s="261">
        <f>+K692/Tiempos!$B$12</f>
        <v>9.7241847826086951E-5</v>
      </c>
      <c r="N692" s="238"/>
      <c r="O692" s="238"/>
      <c r="P692" s="238"/>
      <c r="Q692" s="238"/>
    </row>
    <row r="693" spans="1:17" ht="13.9" x14ac:dyDescent="0.4">
      <c r="A693" s="298"/>
      <c r="B693" s="298"/>
      <c r="C693" s="297"/>
      <c r="D693" s="297"/>
      <c r="E693" s="299"/>
      <c r="G693" s="153"/>
      <c r="K693" s="82"/>
      <c r="L693" s="86">
        <f>SUM(L682:L692)</f>
        <v>2.3776213582311412E-2</v>
      </c>
      <c r="M693" s="86">
        <f>SUM(M682:M692)</f>
        <v>1.1888106791155706E-2</v>
      </c>
      <c r="N693" s="86">
        <f>SUM(N682:N686)</f>
        <v>0</v>
      </c>
      <c r="O693" s="86">
        <f>SUM(O682:O686)</f>
        <v>0</v>
      </c>
      <c r="P693" s="86">
        <f>SUM(P682:P686)</f>
        <v>0</v>
      </c>
      <c r="Q693" s="86">
        <f>SUM(Q682:Q686)</f>
        <v>0</v>
      </c>
    </row>
    <row r="694" spans="1:17" ht="13.9" x14ac:dyDescent="0.4">
      <c r="A694" s="298"/>
      <c r="B694" s="298"/>
      <c r="C694" s="297"/>
      <c r="D694" s="297"/>
      <c r="E694" s="299"/>
      <c r="G694" s="153"/>
      <c r="K694" s="82"/>
      <c r="L694" s="486"/>
      <c r="M694" s="486"/>
      <c r="N694" s="486"/>
      <c r="O694" s="486"/>
      <c r="P694" s="486"/>
      <c r="Q694" s="486"/>
    </row>
    <row r="695" spans="1:17" ht="15" x14ac:dyDescent="0.4">
      <c r="A695" s="493" t="s">
        <v>932</v>
      </c>
      <c r="B695" s="494"/>
      <c r="C695" s="375"/>
      <c r="D695" s="375"/>
      <c r="E695" s="495"/>
    </row>
    <row r="696" spans="1:17" ht="13.15" x14ac:dyDescent="0.4">
      <c r="A696" s="296" t="s">
        <v>894</v>
      </c>
      <c r="B696" s="179"/>
      <c r="E696" s="120"/>
      <c r="F696" s="75"/>
      <c r="G696" s="152"/>
      <c r="H696" s="177"/>
      <c r="I696" s="109"/>
      <c r="J696" s="107"/>
      <c r="K696" s="162"/>
      <c r="L696" s="109"/>
      <c r="M696" s="45"/>
      <c r="N696" s="45"/>
      <c r="O696" s="45"/>
      <c r="P696" s="45"/>
      <c r="Q696" s="45"/>
    </row>
    <row r="697" spans="1:17" s="70" customFormat="1" x14ac:dyDescent="0.35">
      <c r="A697" s="92"/>
      <c r="B697" s="92">
        <v>2</v>
      </c>
      <c r="C697" s="100">
        <v>1</v>
      </c>
      <c r="D697" s="100" t="s">
        <v>46</v>
      </c>
      <c r="E697" s="112" t="s">
        <v>447</v>
      </c>
      <c r="F697" s="100" t="str">
        <f>+Volumenes!D39</f>
        <v>CHA_SANT_2D_EST</v>
      </c>
      <c r="G697" s="144">
        <f>VLOOKUP(F697,Volumenes!$D$20:$F$222,3,FALSE)</f>
        <v>13.157346735978763</v>
      </c>
      <c r="H697" s="155">
        <v>10</v>
      </c>
      <c r="I697" s="103">
        <f>+(H697/Tiempos!$B$29)/60</f>
        <v>8.5470085470085472E-2</v>
      </c>
      <c r="J697" s="111">
        <f>+I697*(1+Tiempos!$C$17)</f>
        <v>8.9957264957264957E-2</v>
      </c>
      <c r="K697" s="146">
        <f>+J697*G697</f>
        <v>1.1835989264630469</v>
      </c>
      <c r="L697" s="103">
        <f>+K697/Tiempos!$B$11</f>
        <v>2.5730411444848844E-3</v>
      </c>
      <c r="M697" s="262">
        <f>+K697/Tiempos!$B$12</f>
        <v>1.2865205722424422E-3</v>
      </c>
      <c r="N697" s="234"/>
      <c r="O697" s="234"/>
      <c r="P697" s="234"/>
      <c r="Q697" s="234"/>
    </row>
    <row r="698" spans="1:17" s="70" customFormat="1" x14ac:dyDescent="0.35">
      <c r="A698" s="81"/>
      <c r="B698" s="81">
        <v>2</v>
      </c>
      <c r="C698" s="83">
        <v>1</v>
      </c>
      <c r="D698" s="83" t="s">
        <v>327</v>
      </c>
      <c r="E698" s="113" t="s">
        <v>79</v>
      </c>
      <c r="F698" s="83" t="str">
        <f>+F697</f>
        <v>CHA_SANT_2D_EST</v>
      </c>
      <c r="G698" s="143">
        <f>VLOOKUP(F698,Volumenes!$D$20:$F$222,3,FALSE)</f>
        <v>13.157346735978763</v>
      </c>
      <c r="H698" s="97"/>
      <c r="I698" s="98">
        <f>25/60</f>
        <v>0.41666666666666669</v>
      </c>
      <c r="J698" s="110">
        <f>+I698*(1+Tiempos!$C$17)</f>
        <v>0.43854166666666666</v>
      </c>
      <c r="K698" s="123">
        <f t="shared" ref="K698:K708" si="134">+J698*G698</f>
        <v>5.7700447665073531</v>
      </c>
      <c r="L698" s="98">
        <f>+K698/Tiempos!$B$11</f>
        <v>1.2543575579363812E-2</v>
      </c>
      <c r="M698" s="261">
        <f>+K698/Tiempos!$B$12</f>
        <v>6.2717877896819058E-3</v>
      </c>
      <c r="N698" s="236"/>
      <c r="O698" s="236"/>
      <c r="P698" s="236"/>
      <c r="Q698" s="236"/>
    </row>
    <row r="699" spans="1:17" s="70" customFormat="1" x14ac:dyDescent="0.35">
      <c r="A699" s="92"/>
      <c r="B699" s="92">
        <v>2</v>
      </c>
      <c r="C699" s="100">
        <v>1</v>
      </c>
      <c r="D699" s="100" t="s">
        <v>327</v>
      </c>
      <c r="E699" s="112" t="s">
        <v>451</v>
      </c>
      <c r="F699" s="100" t="str">
        <f>+F698</f>
        <v>CHA_SANT_2D_EST</v>
      </c>
      <c r="G699" s="144">
        <f>VLOOKUP(F699,Volumenes!$D$20:$F$222,3,FALSE)</f>
        <v>13.157346735978763</v>
      </c>
      <c r="H699" s="155">
        <v>10</v>
      </c>
      <c r="I699" s="103">
        <f>VLOOKUP(F699,Tiempos!$D$42:$F$111,3,FALSE)</f>
        <v>0.99145299145299148</v>
      </c>
      <c r="J699" s="111">
        <f>+I699*(1+Tiempos!$C$17)</f>
        <v>1.0435042735042734</v>
      </c>
      <c r="K699" s="146">
        <f t="shared" si="134"/>
        <v>13.729747546971343</v>
      </c>
      <c r="L699" s="103">
        <f>+K699/Tiempos!$B$11</f>
        <v>2.9847277276024656E-2</v>
      </c>
      <c r="M699" s="262">
        <f>+K699/Tiempos!$B$12</f>
        <v>1.4923638638012328E-2</v>
      </c>
      <c r="N699" s="237"/>
      <c r="O699" s="237"/>
      <c r="P699" s="237"/>
      <c r="Q699" s="237"/>
    </row>
    <row r="700" spans="1:17" s="70" customFormat="1" x14ac:dyDescent="0.35">
      <c r="A700" s="81"/>
      <c r="B700" s="81">
        <v>2</v>
      </c>
      <c r="C700" s="83">
        <v>1</v>
      </c>
      <c r="D700" s="83" t="s">
        <v>327</v>
      </c>
      <c r="E700" s="113" t="s">
        <v>448</v>
      </c>
      <c r="F700" s="83" t="str">
        <f>+F699</f>
        <v>CHA_SANT_2D_EST</v>
      </c>
      <c r="G700" s="143">
        <f>VLOOKUP(F700,Volumenes!$D$20:$F$222,3,FALSE)</f>
        <v>13.157346735978763</v>
      </c>
      <c r="H700" s="97"/>
      <c r="I700" s="98">
        <f>15/60</f>
        <v>0.25</v>
      </c>
      <c r="J700" s="110">
        <f>+I700*(1+Tiempos!$C$17)</f>
        <v>0.263125</v>
      </c>
      <c r="K700" s="123">
        <f t="shared" si="134"/>
        <v>3.4620268599044119</v>
      </c>
      <c r="L700" s="98">
        <f>+K700/Tiempos!$B$11</f>
        <v>7.5261453476182872E-3</v>
      </c>
      <c r="M700" s="261">
        <f>+K700/Tiempos!$B$12</f>
        <v>3.7630726738091436E-3</v>
      </c>
      <c r="N700" s="236"/>
      <c r="O700" s="236"/>
      <c r="P700" s="236"/>
      <c r="Q700" s="236"/>
    </row>
    <row r="701" spans="1:17" s="70" customFormat="1" x14ac:dyDescent="0.35">
      <c r="A701" s="81"/>
      <c r="B701" s="81">
        <v>2</v>
      </c>
      <c r="C701" s="83">
        <v>1</v>
      </c>
      <c r="D701" s="83" t="s">
        <v>46</v>
      </c>
      <c r="E701" s="113" t="s">
        <v>452</v>
      </c>
      <c r="F701" s="83" t="str">
        <f>+F700</f>
        <v>CHA_SANT_2D_EST</v>
      </c>
      <c r="G701" s="143">
        <f>VLOOKUP(F701,Volumenes!$D$20:$F$222,3,FALSE)</f>
        <v>13.157346735978763</v>
      </c>
      <c r="H701" s="97"/>
      <c r="I701" s="98">
        <f>5/60</f>
        <v>8.3333333333333329E-2</v>
      </c>
      <c r="J701" s="110">
        <f>+I701*(1+Tiempos!$C$17)</f>
        <v>8.7708333333333333E-2</v>
      </c>
      <c r="K701" s="123">
        <f t="shared" ref="K701:K702" si="135">+J701*G701</f>
        <v>1.1540089533014706</v>
      </c>
      <c r="L701" s="98">
        <f>+K701/Tiempos!$B$11</f>
        <v>2.5087151158727622E-3</v>
      </c>
      <c r="M701" s="261">
        <f>+K701/Tiempos!$B$12</f>
        <v>1.2543575579363811E-3</v>
      </c>
      <c r="N701" s="236"/>
      <c r="O701" s="236"/>
      <c r="P701" s="236"/>
      <c r="Q701" s="236"/>
    </row>
    <row r="702" spans="1:17" s="70" customFormat="1" x14ac:dyDescent="0.35">
      <c r="A702" s="81"/>
      <c r="B702" s="81">
        <v>2</v>
      </c>
      <c r="C702" s="83">
        <v>1</v>
      </c>
      <c r="D702" s="83" t="s">
        <v>46</v>
      </c>
      <c r="E702" s="113" t="s">
        <v>450</v>
      </c>
      <c r="F702" s="83" t="str">
        <f>+Volumenes!D26</f>
        <v>CAMION CHAPA</v>
      </c>
      <c r="G702" s="143">
        <f>VLOOKUP(F702,Volumenes!$D$20:$F$222,3,FALSE)</f>
        <v>4</v>
      </c>
      <c r="H702" s="97"/>
      <c r="I702" s="98">
        <v>1</v>
      </c>
      <c r="J702" s="110">
        <f>+I702*(1+Tiempos!$C$17)</f>
        <v>1.0525</v>
      </c>
      <c r="K702" s="123">
        <f t="shared" si="135"/>
        <v>4.21</v>
      </c>
      <c r="L702" s="98">
        <f>+K702/Tiempos!$B$11</f>
        <v>9.1521739130434789E-3</v>
      </c>
      <c r="M702" s="261">
        <f>+K702/Tiempos!$B$12</f>
        <v>4.5760869565217395E-3</v>
      </c>
      <c r="N702" s="236"/>
      <c r="O702" s="236"/>
      <c r="P702" s="236"/>
      <c r="Q702" s="236"/>
    </row>
    <row r="703" spans="1:17" x14ac:dyDescent="0.35">
      <c r="A703" s="81"/>
      <c r="B703" s="81">
        <v>2</v>
      </c>
      <c r="C703" s="83">
        <v>1</v>
      </c>
      <c r="D703" s="83" t="s">
        <v>46</v>
      </c>
      <c r="E703" s="113" t="s">
        <v>449</v>
      </c>
      <c r="F703" s="81" t="str">
        <f>+F701</f>
        <v>CHA_SANT_2D_EST</v>
      </c>
      <c r="G703" s="143">
        <f>VLOOKUP(F703,Volumenes!$D$20:$F$222,3,FALSE)</f>
        <v>13.157346735978763</v>
      </c>
      <c r="H703" s="97"/>
      <c r="I703" s="98">
        <f>8/60</f>
        <v>0.13333333333333333</v>
      </c>
      <c r="J703" s="110">
        <f>+I703*(1+Tiempos!$C$17)</f>
        <v>0.14033333333333334</v>
      </c>
      <c r="K703" s="123">
        <f t="shared" si="134"/>
        <v>1.8464143252823531</v>
      </c>
      <c r="L703" s="98">
        <f>+K703/Tiempos!$B$11</f>
        <v>4.0139441853964198E-3</v>
      </c>
      <c r="M703" s="261">
        <f>+K703/Tiempos!$B$12</f>
        <v>2.0069720926982099E-3</v>
      </c>
      <c r="N703" s="236"/>
      <c r="O703" s="236"/>
      <c r="P703" s="236"/>
      <c r="Q703" s="236"/>
    </row>
    <row r="704" spans="1:17" x14ac:dyDescent="0.35">
      <c r="A704" s="81"/>
      <c r="B704" s="81">
        <v>2</v>
      </c>
      <c r="C704" s="83">
        <v>1</v>
      </c>
      <c r="D704" s="83" t="s">
        <v>46</v>
      </c>
      <c r="E704" s="113" t="s">
        <v>456</v>
      </c>
      <c r="F704" s="81" t="str">
        <f>+F703</f>
        <v>CHA_SANT_2D_EST</v>
      </c>
      <c r="G704" s="143">
        <f>VLOOKUP(F704,Volumenes!$D$20:$F$222,3,FALSE)</f>
        <v>13.157346735978763</v>
      </c>
      <c r="H704" s="97"/>
      <c r="I704" s="98">
        <f>6/60</f>
        <v>0.1</v>
      </c>
      <c r="J704" s="110">
        <f>+I704*(1+Tiempos!$C$17)</f>
        <v>0.10525000000000001</v>
      </c>
      <c r="K704" s="123">
        <f t="shared" ref="K704:K706" si="136">+J704*G704</f>
        <v>1.384810743961765</v>
      </c>
      <c r="L704" s="98">
        <f>+K704/Tiempos!$B$11</f>
        <v>3.010458139047315E-3</v>
      </c>
      <c r="M704" s="261">
        <f>+K704/Tiempos!$B$12</f>
        <v>1.5052290695236575E-3</v>
      </c>
      <c r="N704" s="236"/>
      <c r="O704" s="236"/>
      <c r="P704" s="236"/>
      <c r="Q704" s="236"/>
    </row>
    <row r="705" spans="1:17" x14ac:dyDescent="0.35">
      <c r="A705" s="81"/>
      <c r="B705" s="81">
        <v>2</v>
      </c>
      <c r="C705" s="83">
        <v>1</v>
      </c>
      <c r="D705" s="83" t="s">
        <v>46</v>
      </c>
      <c r="E705" s="113" t="s">
        <v>182</v>
      </c>
      <c r="F705" s="81" t="str">
        <f>+F704</f>
        <v>CHA_SANT_2D_EST</v>
      </c>
      <c r="G705" s="143">
        <f>VLOOKUP(F705,Volumenes!$D$20:$F$222,3,FALSE)</f>
        <v>13.157346735978763</v>
      </c>
      <c r="H705" s="97"/>
      <c r="I705" s="98">
        <f>5/60</f>
        <v>8.3333333333333329E-2</v>
      </c>
      <c r="J705" s="110">
        <f>+I705*(1+Tiempos!$C$17)</f>
        <v>8.7708333333333333E-2</v>
      </c>
      <c r="K705" s="123">
        <f t="shared" si="136"/>
        <v>1.1540089533014706</v>
      </c>
      <c r="L705" s="98">
        <f>+K705/Tiempos!$B$11</f>
        <v>2.5087151158727622E-3</v>
      </c>
      <c r="M705" s="261">
        <f>+K705/Tiempos!$B$12</f>
        <v>1.2543575579363811E-3</v>
      </c>
      <c r="N705" s="236"/>
      <c r="O705" s="236"/>
      <c r="P705" s="236"/>
      <c r="Q705" s="236"/>
    </row>
    <row r="706" spans="1:17" x14ac:dyDescent="0.35">
      <c r="A706" s="81"/>
      <c r="B706" s="81">
        <v>2</v>
      </c>
      <c r="C706" s="83">
        <v>1</v>
      </c>
      <c r="D706" s="83" t="s">
        <v>46</v>
      </c>
      <c r="E706" s="113" t="s">
        <v>453</v>
      </c>
      <c r="F706" s="81" t="str">
        <f>+F705</f>
        <v>CHA_SANT_2D_EST</v>
      </c>
      <c r="G706" s="143">
        <f>VLOOKUP(F706,Volumenes!$D$20:$F$222,3,FALSE)</f>
        <v>13.157346735978763</v>
      </c>
      <c r="H706" s="97"/>
      <c r="I706" s="98">
        <f>15/60</f>
        <v>0.25</v>
      </c>
      <c r="J706" s="110">
        <f>+I706*(1+Tiempos!$C$17)</f>
        <v>0.263125</v>
      </c>
      <c r="K706" s="123">
        <f t="shared" si="136"/>
        <v>3.4620268599044119</v>
      </c>
      <c r="L706" s="98">
        <f>+K706/Tiempos!$B$11</f>
        <v>7.5261453476182872E-3</v>
      </c>
      <c r="M706" s="261">
        <f>+K706/Tiempos!$B$12</f>
        <v>3.7630726738091436E-3</v>
      </c>
      <c r="N706" s="236"/>
      <c r="O706" s="236"/>
      <c r="P706" s="236"/>
      <c r="Q706" s="236"/>
    </row>
    <row r="707" spans="1:17" x14ac:dyDescent="0.35">
      <c r="A707" s="92"/>
      <c r="B707" s="92">
        <v>2</v>
      </c>
      <c r="C707" s="100">
        <v>1</v>
      </c>
      <c r="D707" s="100" t="s">
        <v>46</v>
      </c>
      <c r="E707" s="112" t="s">
        <v>454</v>
      </c>
      <c r="F707" s="92" t="str">
        <f>+F706</f>
        <v>CHA_SANT_2D_EST</v>
      </c>
      <c r="G707" s="144">
        <f>VLOOKUP(F707,Volumenes!$D$20:$F$222,3,FALSE)</f>
        <v>13.157346735978763</v>
      </c>
      <c r="H707" s="102">
        <v>35</v>
      </c>
      <c r="I707" s="103">
        <f>+(H707/Tiempos!$B$29)/60</f>
        <v>0.29914529914529914</v>
      </c>
      <c r="J707" s="111">
        <f>+I707*(1+Tiempos!$C$17)</f>
        <v>0.31485042735042734</v>
      </c>
      <c r="K707" s="146">
        <f t="shared" si="134"/>
        <v>4.1425962426206642</v>
      </c>
      <c r="L707" s="103">
        <f>+K707/Tiempos!$B$11</f>
        <v>9.0056440056970957E-3</v>
      </c>
      <c r="M707" s="262">
        <f>+K707/Tiempos!$B$12</f>
        <v>4.5028220028485479E-3</v>
      </c>
      <c r="N707" s="237"/>
      <c r="O707" s="237"/>
      <c r="P707" s="237"/>
      <c r="Q707" s="237"/>
    </row>
    <row r="708" spans="1:17" x14ac:dyDescent="0.35">
      <c r="A708" s="81"/>
      <c r="B708" s="81">
        <v>2</v>
      </c>
      <c r="C708" s="83">
        <v>1</v>
      </c>
      <c r="D708" s="83" t="s">
        <v>46</v>
      </c>
      <c r="E708" s="114" t="s">
        <v>455</v>
      </c>
      <c r="F708" s="81" t="str">
        <f>+F707</f>
        <v>CHA_SANT_2D_EST</v>
      </c>
      <c r="G708" s="143">
        <f>VLOOKUP(F708,Volumenes!$D$20:$F$222,3,FALSE)</f>
        <v>13.157346735978763</v>
      </c>
      <c r="H708" s="97"/>
      <c r="I708" s="98">
        <f>35/60</f>
        <v>0.58333333333333337</v>
      </c>
      <c r="J708" s="110">
        <f>+I708*(1+Tiempos!$C$17)</f>
        <v>0.61395833333333338</v>
      </c>
      <c r="K708" s="123">
        <f t="shared" si="134"/>
        <v>8.0780626731102956</v>
      </c>
      <c r="L708" s="98">
        <f>+K708/Tiempos!$B$11</f>
        <v>1.7561005811109337E-2</v>
      </c>
      <c r="M708" s="261">
        <f>+K708/Tiempos!$B$12</f>
        <v>8.7805029055546685E-3</v>
      </c>
      <c r="N708" s="236"/>
      <c r="O708" s="236"/>
      <c r="P708" s="236"/>
      <c r="Q708" s="236"/>
    </row>
    <row r="709" spans="1:17" x14ac:dyDescent="0.35">
      <c r="A709" s="92"/>
      <c r="B709" s="92">
        <v>2</v>
      </c>
      <c r="C709" s="100">
        <v>1</v>
      </c>
      <c r="D709" s="100" t="s">
        <v>327</v>
      </c>
      <c r="E709" s="178" t="s">
        <v>889</v>
      </c>
      <c r="F709" s="92" t="str">
        <f>+Volumenes!D41</f>
        <v>BUL_VAC</v>
      </c>
      <c r="G709" s="144">
        <f>VLOOKUP(F709,Volumenes!$D$20:$F$222,3,FALSE)</f>
        <v>24.852766056848775</v>
      </c>
      <c r="H709" s="102">
        <f>VLOOKUP(F709,Tiempos!$D$42:F159,2,FALSE)</f>
        <v>10</v>
      </c>
      <c r="I709" s="103">
        <f>VLOOKUP(F709,Tiempos!$D$42:$F$157,3,FALSE)</f>
        <v>8.5470085470085472E-2</v>
      </c>
      <c r="J709" s="111">
        <f>+I709*(1+Tiempos!$C$17)</f>
        <v>8.9957264957264957E-2</v>
      </c>
      <c r="K709" s="146">
        <f t="shared" ref="K709:K711" si="137">+J709*G709</f>
        <v>2.2356868610968665</v>
      </c>
      <c r="L709" s="103">
        <f>+K709/Tiempos!$B$11</f>
        <v>4.8601888284714491E-3</v>
      </c>
      <c r="M709" s="262">
        <f>+K709/Tiempos!$B$12</f>
        <v>2.4300944142357245E-3</v>
      </c>
      <c r="N709" s="237"/>
      <c r="O709" s="237"/>
      <c r="P709" s="237"/>
      <c r="Q709" s="237"/>
    </row>
    <row r="710" spans="1:17" x14ac:dyDescent="0.35">
      <c r="A710" s="81"/>
      <c r="B710" s="81">
        <v>2</v>
      </c>
      <c r="C710" s="83">
        <v>1</v>
      </c>
      <c r="D710" s="83" t="s">
        <v>327</v>
      </c>
      <c r="E710" s="114" t="s">
        <v>890</v>
      </c>
      <c r="F710" s="81" t="str">
        <f>+F709</f>
        <v>BUL_VAC</v>
      </c>
      <c r="G710" s="143">
        <f>VLOOKUP(F710,Volumenes!$D$20:$F$222,3,FALSE)</f>
        <v>24.852766056848775</v>
      </c>
      <c r="H710" s="97"/>
      <c r="I710" s="98">
        <f>15/60</f>
        <v>0.25</v>
      </c>
      <c r="J710" s="110">
        <f>+I710*(1+Tiempos!$C$17)</f>
        <v>0.263125</v>
      </c>
      <c r="K710" s="123">
        <f t="shared" si="137"/>
        <v>6.5393840687083342</v>
      </c>
      <c r="L710" s="98">
        <f>+K710/Tiempos!$B$11</f>
        <v>1.4216052323278987E-2</v>
      </c>
      <c r="M710" s="261">
        <f>+K710/Tiempos!$B$12</f>
        <v>7.1080261616394934E-3</v>
      </c>
      <c r="N710" s="236"/>
      <c r="O710" s="236"/>
      <c r="P710" s="236"/>
      <c r="Q710" s="236"/>
    </row>
    <row r="711" spans="1:17" x14ac:dyDescent="0.35">
      <c r="A711" s="81"/>
      <c r="B711" s="81">
        <v>2</v>
      </c>
      <c r="C711" s="83">
        <v>1</v>
      </c>
      <c r="D711" s="83" t="s">
        <v>327</v>
      </c>
      <c r="E711" s="114" t="s">
        <v>891</v>
      </c>
      <c r="F711" s="81" t="str">
        <f>+F710</f>
        <v>BUL_VAC</v>
      </c>
      <c r="G711" s="143">
        <f>VLOOKUP(F711,Volumenes!$D$20:$F$222,3,FALSE)</f>
        <v>24.852766056848775</v>
      </c>
      <c r="H711" s="97"/>
      <c r="I711" s="98">
        <f>20/60</f>
        <v>0.33333333333333331</v>
      </c>
      <c r="J711" s="110">
        <f>+I711*(1+Tiempos!$C$17)</f>
        <v>0.35083333333333333</v>
      </c>
      <c r="K711" s="123">
        <f t="shared" si="137"/>
        <v>8.7191787582777778</v>
      </c>
      <c r="L711" s="98">
        <f>+K711/Tiempos!$B$11</f>
        <v>1.8954736431038649E-2</v>
      </c>
      <c r="M711" s="261">
        <f>+K711/Tiempos!$B$12</f>
        <v>9.4773682155193245E-3</v>
      </c>
      <c r="N711" s="236"/>
      <c r="O711" s="236"/>
      <c r="P711" s="236"/>
      <c r="Q711" s="236"/>
    </row>
    <row r="712" spans="1:17" x14ac:dyDescent="0.35">
      <c r="A712" s="75"/>
      <c r="B712" s="75"/>
      <c r="E712" s="120"/>
      <c r="F712" s="75"/>
      <c r="G712" s="152"/>
      <c r="H712" s="105"/>
      <c r="I712" s="109"/>
      <c r="J712" s="107"/>
      <c r="K712" s="162"/>
      <c r="L712" s="308">
        <f>SUM(L697:L711)</f>
        <v>0.14580781856393821</v>
      </c>
      <c r="M712" s="308">
        <f>SUM(M697:M711)</f>
        <v>7.2903909281969104E-2</v>
      </c>
      <c r="N712" s="295"/>
      <c r="O712" s="295"/>
      <c r="P712" s="295"/>
      <c r="Q712" s="295"/>
    </row>
  </sheetData>
  <phoneticPr fontId="37" type="noConversion"/>
  <printOptions horizontalCentered="1"/>
  <pageMargins left="0.19685039370078741" right="0.19685039370078741" top="0.39370078740157483" bottom="0.59055118110236227" header="0.19685039370078741" footer="0.19685039370078741"/>
  <pageSetup paperSize="9" scale="54" fitToHeight="9" orientation="landscape" r:id="rId1"/>
  <headerFooter alignWithMargins="0">
    <oddFooter>&amp;R&amp;P de &amp;N</oddFooter>
  </headerFooter>
  <ignoredErrors>
    <ignoredError sqref="F192 F189" formula="1"/>
  </ignoredError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3FDCA-4768-4AA4-B6BC-EC696EC6A167}">
  <sheetPr>
    <pageSetUpPr fitToPage="1"/>
  </sheetPr>
  <dimension ref="A1:AH712"/>
  <sheetViews>
    <sheetView showGridLines="0" zoomScale="85" zoomScaleNormal="85" zoomScaleSheetLayoutView="70" workbookViewId="0">
      <pane ySplit="6" topLeftCell="A511" activePane="bottomLeft" state="frozen"/>
      <selection pane="bottomLeft" activeCell="E706" sqref="E706"/>
    </sheetView>
  </sheetViews>
  <sheetFormatPr baseColWidth="10" defaultColWidth="11.3984375" defaultRowHeight="12.75" x14ac:dyDescent="0.35"/>
  <cols>
    <col min="1" max="2" width="4.86328125" style="45" customWidth="1"/>
    <col min="3" max="3" width="6.86328125" style="44" customWidth="1"/>
    <col min="4" max="4" width="6.59765625" style="44" customWidth="1"/>
    <col min="5" max="5" width="98.59765625" style="59" customWidth="1"/>
    <col min="6" max="6" width="17.59765625" style="45" customWidth="1"/>
    <col min="7" max="8" width="11" style="45" customWidth="1"/>
    <col min="9" max="9" width="11.86328125" style="45" customWidth="1"/>
    <col min="10" max="10" width="12.3984375" style="45" customWidth="1"/>
    <col min="11" max="11" width="10.59765625" style="45" customWidth="1"/>
    <col min="12" max="12" width="11.3984375" style="45" customWidth="1"/>
    <col min="13" max="17" width="11" style="74" customWidth="1"/>
    <col min="18" max="16384" width="11.3984375" style="45"/>
  </cols>
  <sheetData>
    <row r="1" spans="1:17" s="70" customFormat="1" ht="25.15" x14ac:dyDescent="0.7">
      <c r="A1" s="72" t="s">
        <v>140</v>
      </c>
      <c r="E1" s="71"/>
      <c r="F1" s="108" t="s">
        <v>46</v>
      </c>
      <c r="G1" s="94"/>
      <c r="H1" s="94"/>
      <c r="I1" s="94"/>
      <c r="J1" s="94"/>
      <c r="K1" s="164"/>
      <c r="L1" s="94"/>
    </row>
    <row r="2" spans="1:17" ht="16.149999999999999" customHeight="1" x14ac:dyDescent="0.6">
      <c r="B2" s="72"/>
      <c r="F2" s="239">
        <v>1</v>
      </c>
      <c r="G2" s="365"/>
      <c r="K2" s="165"/>
    </row>
    <row r="3" spans="1:17" ht="19.149999999999999" customHeight="1" x14ac:dyDescent="0.45">
      <c r="A3" s="198" t="s">
        <v>95</v>
      </c>
      <c r="B3" s="198"/>
      <c r="E3" s="47">
        <f>+Volumenes!E5</f>
        <v>53.7</v>
      </c>
      <c r="F3" s="73"/>
      <c r="G3" s="365"/>
      <c r="K3" s="165"/>
    </row>
    <row r="4" spans="1:17" ht="10.9" customHeight="1" x14ac:dyDescent="0.35">
      <c r="F4" s="64"/>
      <c r="G4" s="70"/>
      <c r="H4" s="75"/>
      <c r="I4" s="75"/>
      <c r="J4" s="64"/>
      <c r="K4" s="165"/>
    </row>
    <row r="5" spans="1:17" s="76" customFormat="1" ht="15" x14ac:dyDescent="0.4">
      <c r="K5" s="166"/>
    </row>
    <row r="6" spans="1:17" s="78" customFormat="1" ht="64.5" customHeight="1" x14ac:dyDescent="0.4">
      <c r="A6" s="95" t="s">
        <v>30</v>
      </c>
      <c r="B6" s="95" t="s">
        <v>324</v>
      </c>
      <c r="C6" s="95" t="s">
        <v>31</v>
      </c>
      <c r="D6" s="95" t="s">
        <v>45</v>
      </c>
      <c r="E6" s="77" t="s">
        <v>32</v>
      </c>
      <c r="F6" s="96" t="s">
        <v>33</v>
      </c>
      <c r="G6" s="96" t="s">
        <v>34</v>
      </c>
      <c r="H6" s="96" t="s">
        <v>35</v>
      </c>
      <c r="I6" s="96" t="s">
        <v>36</v>
      </c>
      <c r="J6" s="96" t="s">
        <v>37</v>
      </c>
      <c r="K6" s="167" t="s">
        <v>38</v>
      </c>
      <c r="L6" s="96" t="s">
        <v>323</v>
      </c>
      <c r="M6" s="96" t="s">
        <v>337</v>
      </c>
      <c r="N6" s="96" t="s">
        <v>338</v>
      </c>
      <c r="O6" s="96" t="s">
        <v>437</v>
      </c>
      <c r="P6" s="96" t="s">
        <v>339</v>
      </c>
      <c r="Q6" s="96" t="s">
        <v>340</v>
      </c>
    </row>
    <row r="7" spans="1:17" s="70" customFormat="1" ht="17.649999999999999" x14ac:dyDescent="0.35">
      <c r="A7" s="79" t="s">
        <v>39</v>
      </c>
      <c r="B7" s="79"/>
      <c r="E7" s="94"/>
      <c r="F7" s="80"/>
      <c r="G7" s="80"/>
      <c r="H7" s="80"/>
      <c r="I7" s="80"/>
      <c r="J7" s="80"/>
      <c r="K7" s="168"/>
      <c r="L7" s="80"/>
    </row>
    <row r="8" spans="1:17" s="70" customFormat="1" ht="17.649999999999999" x14ac:dyDescent="0.35">
      <c r="A8" s="205" t="s">
        <v>1003</v>
      </c>
      <c r="B8" s="79"/>
      <c r="E8" s="94"/>
      <c r="F8" s="80"/>
      <c r="G8" s="80"/>
      <c r="H8" s="80"/>
      <c r="I8" s="80"/>
      <c r="J8" s="80"/>
      <c r="K8" s="168"/>
      <c r="L8" s="80"/>
    </row>
    <row r="9" spans="1:17" s="70" customFormat="1" x14ac:dyDescent="0.35">
      <c r="A9" s="81"/>
      <c r="B9" s="81">
        <v>2</v>
      </c>
      <c r="C9" s="83">
        <v>1</v>
      </c>
      <c r="D9" s="83" t="s">
        <v>46</v>
      </c>
      <c r="E9" s="113" t="s">
        <v>47</v>
      </c>
      <c r="F9" s="83" t="str">
        <f>+Volumenes!D25</f>
        <v>CAMION</v>
      </c>
      <c r="G9" s="143">
        <f>VLOOKUP(F9,Volumenes!$D$20:$G$184,4,FALSE)</f>
        <v>11.891054030115146</v>
      </c>
      <c r="H9" s="97"/>
      <c r="I9" s="123">
        <v>1</v>
      </c>
      <c r="J9" s="110">
        <f>+I9*(1+Tiempos!$C$17)</f>
        <v>1.0525</v>
      </c>
      <c r="K9" s="123">
        <f>+J9*G9</f>
        <v>12.515334366696191</v>
      </c>
      <c r="L9" s="98">
        <f>+K9/Tiempos!$B$11</f>
        <v>2.7207248623252588E-2</v>
      </c>
      <c r="M9" s="261"/>
      <c r="N9" s="233"/>
      <c r="O9" s="233"/>
      <c r="P9" s="233"/>
      <c r="Q9" s="233"/>
    </row>
    <row r="10" spans="1:17" s="70" customFormat="1" x14ac:dyDescent="0.35">
      <c r="A10" s="92"/>
      <c r="B10" s="92">
        <v>2</v>
      </c>
      <c r="C10" s="100">
        <v>1</v>
      </c>
      <c r="D10" s="100" t="s">
        <v>46</v>
      </c>
      <c r="E10" s="112" t="s">
        <v>48</v>
      </c>
      <c r="F10" s="100" t="str">
        <f>+Volumenes!D25</f>
        <v>CAMION</v>
      </c>
      <c r="G10" s="144">
        <f>VLOOKUP(F10,Volumenes!$D$20:$G$184,4,FALSE)</f>
        <v>11.891054030115146</v>
      </c>
      <c r="H10" s="155">
        <f>+Tiempos!E42</f>
        <v>20</v>
      </c>
      <c r="I10" s="103">
        <f>+Tiempos!F42</f>
        <v>0.22644927536231885</v>
      </c>
      <c r="J10" s="111">
        <f>+I10*(1+Tiempos!$C$17)</f>
        <v>0.23833786231884058</v>
      </c>
      <c r="K10" s="146">
        <f>+J10*G10</f>
        <v>2.8340883982554783</v>
      </c>
      <c r="L10" s="103">
        <f>+K10/Tiempos!B11</f>
        <v>6.161061735337996E-3</v>
      </c>
      <c r="M10" s="262"/>
      <c r="N10" s="234"/>
      <c r="O10" s="234"/>
      <c r="P10" s="234"/>
      <c r="Q10" s="234"/>
    </row>
    <row r="11" spans="1:17" s="70" customFormat="1" x14ac:dyDescent="0.35">
      <c r="A11" s="81"/>
      <c r="B11" s="81">
        <v>2</v>
      </c>
      <c r="C11" s="83">
        <v>1</v>
      </c>
      <c r="D11" s="83" t="s">
        <v>46</v>
      </c>
      <c r="E11" s="113" t="s">
        <v>49</v>
      </c>
      <c r="F11" s="83" t="str">
        <f>+Volumenes!D25</f>
        <v>CAMION</v>
      </c>
      <c r="G11" s="143">
        <f>VLOOKUP(F11,Volumenes!$D$20:$G$184,4,FALSE)</f>
        <v>11.891054030115146</v>
      </c>
      <c r="H11" s="97"/>
      <c r="I11" s="123">
        <v>2</v>
      </c>
      <c r="J11" s="110">
        <f>+I11*(1+Tiempos!$C$17)</f>
        <v>2.105</v>
      </c>
      <c r="K11" s="123">
        <f t="shared" ref="K11:K47" si="0">+J11*G11</f>
        <v>25.030668733392382</v>
      </c>
      <c r="L11" s="98">
        <f>+K11/Tiempos!$B$11</f>
        <v>5.4414497246505177E-2</v>
      </c>
      <c r="M11" s="261"/>
      <c r="N11" s="233"/>
      <c r="O11" s="233"/>
      <c r="P11" s="233"/>
      <c r="Q11" s="233"/>
    </row>
    <row r="12" spans="1:17" s="70" customFormat="1" x14ac:dyDescent="0.35">
      <c r="A12" s="81"/>
      <c r="B12" s="81">
        <v>2</v>
      </c>
      <c r="C12" s="83">
        <v>1</v>
      </c>
      <c r="D12" s="83" t="s">
        <v>327</v>
      </c>
      <c r="E12" s="113" t="s">
        <v>182</v>
      </c>
      <c r="F12" s="83" t="s">
        <v>110</v>
      </c>
      <c r="G12" s="143">
        <f>VLOOKUP(F12,Volumenes!$D$20:$G$184,4,FALSE)</f>
        <v>11.891054030115146</v>
      </c>
      <c r="H12" s="97"/>
      <c r="I12" s="98">
        <v>0.25</v>
      </c>
      <c r="J12" s="110">
        <f>+I12*(1+Tiempos!$C$17)</f>
        <v>0.263125</v>
      </c>
      <c r="K12" s="123">
        <f>+J12*G12</f>
        <v>3.1288335916740477</v>
      </c>
      <c r="L12" s="98">
        <f>+K12/Tiempos!$B$11</f>
        <v>6.8018121558131471E-3</v>
      </c>
      <c r="M12" s="261">
        <f>+K12/Tiempos!$B$12</f>
        <v>3.4009060779065735E-3</v>
      </c>
      <c r="N12" s="236"/>
      <c r="O12" s="236"/>
      <c r="P12" s="236"/>
      <c r="Q12" s="236"/>
    </row>
    <row r="13" spans="1:17" s="70" customFormat="1" x14ac:dyDescent="0.35">
      <c r="A13" s="92"/>
      <c r="B13" s="92">
        <v>2</v>
      </c>
      <c r="C13" s="100">
        <v>1</v>
      </c>
      <c r="D13" s="100" t="s">
        <v>46</v>
      </c>
      <c r="E13" s="112" t="s">
        <v>183</v>
      </c>
      <c r="F13" s="100" t="s">
        <v>110</v>
      </c>
      <c r="G13" s="144">
        <f>VLOOKUP(F13,Volumenes!$D$20:$G$184,4,FALSE)</f>
        <v>11.891054030115146</v>
      </c>
      <c r="H13" s="102">
        <f>+Tiempos!E60</f>
        <v>10</v>
      </c>
      <c r="I13" s="103">
        <f>+Tiempos!F60</f>
        <v>8.5470085470085472E-2</v>
      </c>
      <c r="J13" s="111">
        <f>+I13*(1+Tiempos!$C$17)</f>
        <v>8.9957264957264957E-2</v>
      </c>
      <c r="K13" s="146">
        <f>+J13*G13</f>
        <v>1.0696866980082216</v>
      </c>
      <c r="L13" s="103">
        <f>+K13/Tiempos!$B$11</f>
        <v>2.3254058652352645E-3</v>
      </c>
      <c r="M13" s="262">
        <f>+K13/Tiempos!$B$12</f>
        <v>1.1627029326176323E-3</v>
      </c>
      <c r="N13" s="234"/>
      <c r="O13" s="234"/>
      <c r="P13" s="234"/>
      <c r="Q13" s="234"/>
    </row>
    <row r="14" spans="1:17" s="70" customFormat="1" x14ac:dyDescent="0.35">
      <c r="A14" s="81"/>
      <c r="B14" s="81">
        <v>2</v>
      </c>
      <c r="C14" s="83">
        <v>1</v>
      </c>
      <c r="D14" s="83" t="s">
        <v>327</v>
      </c>
      <c r="E14" s="113" t="s">
        <v>79</v>
      </c>
      <c r="F14" s="83" t="str">
        <f>+Volumenes!D52</f>
        <v>BUL_ENTR</v>
      </c>
      <c r="G14" s="143">
        <f>VLOOKUP(F14,Volumenes!$D$20:$G$184,4,FALSE)</f>
        <v>156.22583333478116</v>
      </c>
      <c r="H14" s="97"/>
      <c r="I14" s="98">
        <f>25/60</f>
        <v>0.41666666666666669</v>
      </c>
      <c r="J14" s="110">
        <f>+I14*(1+Tiempos!$C$17)</f>
        <v>0.43854166666666666</v>
      </c>
      <c r="K14" s="123">
        <f t="shared" si="0"/>
        <v>68.511537327023817</v>
      </c>
      <c r="L14" s="98">
        <f>+K14/Tiempos!$B$11</f>
        <v>0.14893812462396483</v>
      </c>
      <c r="M14" s="261">
        <f>+K14/Tiempos!$B$12</f>
        <v>7.4469062311982415E-2</v>
      </c>
      <c r="N14" s="236"/>
      <c r="O14" s="236"/>
      <c r="P14" s="236"/>
      <c r="Q14" s="236"/>
    </row>
    <row r="15" spans="1:17" s="70" customFormat="1" x14ac:dyDescent="0.35">
      <c r="A15" s="92"/>
      <c r="B15" s="92">
        <v>2</v>
      </c>
      <c r="C15" s="100">
        <v>1</v>
      </c>
      <c r="D15" s="100" t="s">
        <v>327</v>
      </c>
      <c r="E15" s="112" t="s">
        <v>210</v>
      </c>
      <c r="F15" s="100" t="s">
        <v>168</v>
      </c>
      <c r="G15" s="144">
        <f>VLOOKUP(F15,Volumenes!$D$20:$G$184,4,FALSE)</f>
        <v>156.22583333478116</v>
      </c>
      <c r="H15" s="155">
        <f>+Tiempos!E46</f>
        <v>15</v>
      </c>
      <c r="I15" s="103">
        <f>+Tiempos!F46</f>
        <v>0.12820512820512822</v>
      </c>
      <c r="J15" s="111">
        <f>+I15*(1+Tiempos!$C$17)</f>
        <v>0.13493589743589746</v>
      </c>
      <c r="K15" s="146">
        <f t="shared" si="0"/>
        <v>21.080473023699639</v>
      </c>
      <c r="L15" s="103">
        <f>+K15/Tiempos!$B$11</f>
        <v>4.5827115268912262E-2</v>
      </c>
      <c r="M15" s="262">
        <f>+K15/Tiempos!$B$12</f>
        <v>2.2913557634456131E-2</v>
      </c>
      <c r="N15" s="237"/>
      <c r="O15" s="237"/>
      <c r="P15" s="237"/>
      <c r="Q15" s="237"/>
    </row>
    <row r="16" spans="1:17" s="70" customFormat="1" x14ac:dyDescent="0.35">
      <c r="A16" s="81"/>
      <c r="B16" s="81">
        <v>2</v>
      </c>
      <c r="C16" s="83">
        <v>1</v>
      </c>
      <c r="D16" s="83" t="s">
        <v>327</v>
      </c>
      <c r="E16" s="113" t="s">
        <v>81</v>
      </c>
      <c r="F16" s="83" t="str">
        <f>+F14</f>
        <v>BUL_ENTR</v>
      </c>
      <c r="G16" s="143">
        <f>VLOOKUP(F16,Volumenes!$D$20:$G$184,4,FALSE)</f>
        <v>156.22583333478116</v>
      </c>
      <c r="H16" s="97"/>
      <c r="I16" s="98">
        <f>15/60</f>
        <v>0.25</v>
      </c>
      <c r="J16" s="110">
        <f>+I16*(1+Tiempos!$C$17)</f>
        <v>0.263125</v>
      </c>
      <c r="K16" s="123">
        <f t="shared" si="0"/>
        <v>41.106922396214294</v>
      </c>
      <c r="L16" s="98">
        <f>+K16/Tiempos!$B$11</f>
        <v>8.9362874774378903E-2</v>
      </c>
      <c r="M16" s="261">
        <f>+K16/Tiempos!$B$12</f>
        <v>4.4681437387189452E-2</v>
      </c>
      <c r="N16" s="236"/>
      <c r="O16" s="236"/>
      <c r="P16" s="236"/>
      <c r="Q16" s="236"/>
    </row>
    <row r="17" spans="1:17" s="70" customFormat="1" x14ac:dyDescent="0.35">
      <c r="A17" s="81"/>
      <c r="B17" s="81">
        <v>2</v>
      </c>
      <c r="C17" s="83">
        <v>1</v>
      </c>
      <c r="D17" s="83" t="s">
        <v>327</v>
      </c>
      <c r="E17" s="113" t="s">
        <v>50</v>
      </c>
      <c r="F17" s="83" t="s">
        <v>60</v>
      </c>
      <c r="G17" s="143">
        <f>VLOOKUP(F17,Volumenes!$D$20:$G$184,4,FALSE)</f>
        <v>0.96773015873015866</v>
      </c>
      <c r="H17" s="97"/>
      <c r="I17" s="98">
        <f>10/60</f>
        <v>0.16666666666666666</v>
      </c>
      <c r="J17" s="110">
        <f>+I17*(1+Tiempos!$C$17)</f>
        <v>0.17541666666666667</v>
      </c>
      <c r="K17" s="123">
        <f t="shared" si="0"/>
        <v>0.16975599867724867</v>
      </c>
      <c r="L17" s="98">
        <f>+K17/Tiempos!$B$11</f>
        <v>3.6903477973314927E-4</v>
      </c>
      <c r="M17" s="261">
        <f>+K17/Tiempos!$B$12</f>
        <v>1.8451738986657463E-4</v>
      </c>
      <c r="N17" s="236"/>
      <c r="O17" s="236"/>
      <c r="P17" s="236"/>
      <c r="Q17" s="236"/>
    </row>
    <row r="18" spans="1:17" s="70" customFormat="1" x14ac:dyDescent="0.35">
      <c r="A18" s="81"/>
      <c r="B18" s="81">
        <v>2</v>
      </c>
      <c r="C18" s="83">
        <v>1</v>
      </c>
      <c r="D18" s="83" t="s">
        <v>327</v>
      </c>
      <c r="E18" s="113" t="s">
        <v>61</v>
      </c>
      <c r="F18" s="83" t="s">
        <v>60</v>
      </c>
      <c r="G18" s="143">
        <f>VLOOKUP(F18,Volumenes!$D$20:$G$184,4,FALSE)</f>
        <v>0.96773015873015866</v>
      </c>
      <c r="H18" s="97"/>
      <c r="I18" s="98">
        <f>25/60</f>
        <v>0.41666666666666669</v>
      </c>
      <c r="J18" s="110">
        <f>+I18*(1+Tiempos!$C$17)</f>
        <v>0.43854166666666666</v>
      </c>
      <c r="K18" s="123">
        <f t="shared" si="0"/>
        <v>0.42438999669312166</v>
      </c>
      <c r="L18" s="98">
        <f>+K18/Tiempos!$B$11</f>
        <v>9.2258694933287314E-4</v>
      </c>
      <c r="M18" s="261">
        <f>+K18/Tiempos!$B$12</f>
        <v>4.6129347466643657E-4</v>
      </c>
      <c r="N18" s="236"/>
      <c r="O18" s="236"/>
      <c r="P18" s="236"/>
      <c r="Q18" s="236"/>
    </row>
    <row r="19" spans="1:17" s="70" customFormat="1" x14ac:dyDescent="0.35">
      <c r="A19" s="92"/>
      <c r="B19" s="92">
        <v>2</v>
      </c>
      <c r="C19" s="100">
        <v>1</v>
      </c>
      <c r="D19" s="100" t="s">
        <v>327</v>
      </c>
      <c r="E19" s="112" t="s">
        <v>92</v>
      </c>
      <c r="F19" s="100" t="s">
        <v>60</v>
      </c>
      <c r="G19" s="144">
        <f>VLOOKUP(F19,Volumenes!$D$20:$G$184,4,FALSE)</f>
        <v>0.96773015873015866</v>
      </c>
      <c r="H19" s="102">
        <v>30</v>
      </c>
      <c r="I19" s="103">
        <f>+(H19/Tiempos!B29)/60</f>
        <v>0.25641025641025644</v>
      </c>
      <c r="J19" s="111">
        <f>+I19*(1+Tiempos!$C$17)</f>
        <v>0.26987179487179491</v>
      </c>
      <c r="K19" s="146">
        <f t="shared" si="0"/>
        <v>0.26116307488807489</v>
      </c>
      <c r="L19" s="103">
        <f>+K19/Tiempos!$B$11</f>
        <v>5.6774581497407589E-4</v>
      </c>
      <c r="M19" s="262">
        <f>+K19/Tiempos!$B$12</f>
        <v>2.8387290748703794E-4</v>
      </c>
      <c r="N19" s="237"/>
      <c r="O19" s="237"/>
      <c r="P19" s="237"/>
      <c r="Q19" s="237"/>
    </row>
    <row r="20" spans="1:17" s="70" customFormat="1" x14ac:dyDescent="0.35">
      <c r="A20" s="81"/>
      <c r="B20" s="81">
        <v>2</v>
      </c>
      <c r="C20" s="83">
        <v>1</v>
      </c>
      <c r="D20" s="83" t="s">
        <v>46</v>
      </c>
      <c r="E20" s="113" t="s">
        <v>51</v>
      </c>
      <c r="F20" s="83" t="s">
        <v>60</v>
      </c>
      <c r="G20" s="143">
        <f>VLOOKUP(F20,Volumenes!$D$20:$G$184,4,FALSE)</f>
        <v>0.96773015873015866</v>
      </c>
      <c r="H20" s="97"/>
      <c r="I20" s="98">
        <f>60/60</f>
        <v>1</v>
      </c>
      <c r="J20" s="110">
        <f>+I20*(1+Tiempos!$C$17)</f>
        <v>1.0525</v>
      </c>
      <c r="K20" s="123">
        <f t="shared" si="0"/>
        <v>1.018535992063492</v>
      </c>
      <c r="L20" s="98">
        <f>+K20/Tiempos!$B$11</f>
        <v>2.2142086783988957E-3</v>
      </c>
      <c r="M20" s="261"/>
      <c r="N20" s="235"/>
      <c r="O20" s="235"/>
      <c r="P20" s="235"/>
      <c r="Q20" s="235"/>
    </row>
    <row r="21" spans="1:17" s="70" customFormat="1" x14ac:dyDescent="0.35">
      <c r="A21" s="81"/>
      <c r="B21" s="81">
        <v>2</v>
      </c>
      <c r="C21" s="83">
        <v>1</v>
      </c>
      <c r="D21" s="83" t="s">
        <v>46</v>
      </c>
      <c r="E21" s="113" t="s">
        <v>209</v>
      </c>
      <c r="F21" s="83" t="s">
        <v>60</v>
      </c>
      <c r="G21" s="143">
        <f>VLOOKUP(F21,Volumenes!$D$20:$G$184,4,FALSE)</f>
        <v>0.96773015873015866</v>
      </c>
      <c r="H21" s="97"/>
      <c r="I21" s="98">
        <f>30/60</f>
        <v>0.5</v>
      </c>
      <c r="J21" s="110">
        <f>+I21*(1+Tiempos!$C$17)</f>
        <v>0.52625</v>
      </c>
      <c r="K21" s="123">
        <f t="shared" si="0"/>
        <v>0.509267996031746</v>
      </c>
      <c r="L21" s="98">
        <f>+K21/Tiempos!$B$11</f>
        <v>1.1071043391994479E-3</v>
      </c>
      <c r="M21" s="261"/>
      <c r="N21" s="235"/>
      <c r="O21" s="235"/>
      <c r="P21" s="235"/>
      <c r="Q21" s="235"/>
    </row>
    <row r="22" spans="1:17" s="70" customFormat="1" x14ac:dyDescent="0.35">
      <c r="A22" s="92"/>
      <c r="B22" s="92">
        <v>2</v>
      </c>
      <c r="C22" s="100">
        <v>1</v>
      </c>
      <c r="D22" s="100" t="s">
        <v>46</v>
      </c>
      <c r="E22" s="112" t="s">
        <v>52</v>
      </c>
      <c r="F22" s="100" t="str">
        <f>+Volumenes!D25</f>
        <v>CAMION</v>
      </c>
      <c r="G22" s="144">
        <f>VLOOKUP(F22,Volumenes!$D$20:$G$184,4,FALSE)</f>
        <v>11.891054030115146</v>
      </c>
      <c r="H22" s="155">
        <f>+Tiempos!E42</f>
        <v>20</v>
      </c>
      <c r="I22" s="103">
        <f>+Tiempos!F42</f>
        <v>0.22644927536231885</v>
      </c>
      <c r="J22" s="111">
        <f>+I22*(1+Tiempos!$C$17)</f>
        <v>0.23833786231884058</v>
      </c>
      <c r="K22" s="146">
        <f t="shared" si="0"/>
        <v>2.8340883982554783</v>
      </c>
      <c r="L22" s="103">
        <f>+K22/Tiempos!$B$11</f>
        <v>6.161061735337996E-3</v>
      </c>
      <c r="M22" s="262"/>
      <c r="N22" s="234"/>
      <c r="O22" s="234"/>
      <c r="P22" s="234"/>
      <c r="Q22" s="234"/>
    </row>
    <row r="23" spans="1:17" s="70" customFormat="1" x14ac:dyDescent="0.35">
      <c r="A23" s="81"/>
      <c r="B23" s="81">
        <v>2</v>
      </c>
      <c r="C23" s="83">
        <v>1</v>
      </c>
      <c r="D23" s="83" t="s">
        <v>46</v>
      </c>
      <c r="E23" s="113" t="s">
        <v>174</v>
      </c>
      <c r="F23" s="81" t="s">
        <v>168</v>
      </c>
      <c r="G23" s="143">
        <f>VLOOKUP(F23,Volumenes!$D$20:$G$184,4,FALSE)</f>
        <v>156.22583333478116</v>
      </c>
      <c r="H23" s="97"/>
      <c r="I23" s="98">
        <f>8/60</f>
        <v>0.13333333333333333</v>
      </c>
      <c r="J23" s="110">
        <f>+I23*(1+Tiempos!$C$17)</f>
        <v>0.14033333333333334</v>
      </c>
      <c r="K23" s="123">
        <f t="shared" si="0"/>
        <v>21.923691944647622</v>
      </c>
      <c r="L23" s="98">
        <f>+K23/Tiempos!$B$11</f>
        <v>4.7660199879668741E-2</v>
      </c>
      <c r="M23" s="261"/>
      <c r="N23" s="233"/>
      <c r="O23" s="233"/>
      <c r="P23" s="233"/>
      <c r="Q23" s="233"/>
    </row>
    <row r="24" spans="1:17" s="70" customFormat="1" x14ac:dyDescent="0.35">
      <c r="A24" s="92"/>
      <c r="B24" s="92">
        <v>2</v>
      </c>
      <c r="C24" s="100">
        <v>1</v>
      </c>
      <c r="D24" s="100" t="s">
        <v>46</v>
      </c>
      <c r="E24" s="112" t="s">
        <v>181</v>
      </c>
      <c r="F24" s="92" t="str">
        <f>+Volumenes!D25</f>
        <v>CAMION</v>
      </c>
      <c r="G24" s="144">
        <f>VLOOKUP(F24,Volumenes!$D$20:$G$184,4,FALSE)</f>
        <v>11.891054030115146</v>
      </c>
      <c r="H24" s="102">
        <f>+Tiempos!E47</f>
        <v>20</v>
      </c>
      <c r="I24" s="103">
        <f>+Tiempos!F47</f>
        <v>0.22644927536231885</v>
      </c>
      <c r="J24" s="111">
        <f>+I24*(1+Tiempos!$C$17)</f>
        <v>0.23833786231884058</v>
      </c>
      <c r="K24" s="146">
        <f t="shared" si="0"/>
        <v>2.8340883982554783</v>
      </c>
      <c r="L24" s="103">
        <f>+K24/Tiempos!$B$11</f>
        <v>6.161061735337996E-3</v>
      </c>
      <c r="M24" s="262"/>
      <c r="N24" s="234"/>
      <c r="O24" s="234"/>
      <c r="P24" s="234"/>
      <c r="Q24" s="234"/>
    </row>
    <row r="25" spans="1:17" s="70" customFormat="1" x14ac:dyDescent="0.35">
      <c r="A25" s="92"/>
      <c r="B25" s="92">
        <v>2</v>
      </c>
      <c r="C25" s="100">
        <v>1</v>
      </c>
      <c r="D25" s="100" t="s">
        <v>46</v>
      </c>
      <c r="E25" s="112" t="s">
        <v>54</v>
      </c>
      <c r="F25" s="92" t="str">
        <f>+Volumenes!D25</f>
        <v>CAMION</v>
      </c>
      <c r="G25" s="144">
        <f>VLOOKUP(F25,Volumenes!$D$20:$G$184,4,FALSE)</f>
        <v>11.891054030115146</v>
      </c>
      <c r="H25" s="155">
        <f>+Tiempos!E42</f>
        <v>20</v>
      </c>
      <c r="I25" s="103">
        <f>+Tiempos!F42</f>
        <v>0.22644927536231885</v>
      </c>
      <c r="J25" s="111">
        <f>+I25*(1+Tiempos!$C$17)</f>
        <v>0.23833786231884058</v>
      </c>
      <c r="K25" s="146">
        <f t="shared" si="0"/>
        <v>2.8340883982554783</v>
      </c>
      <c r="L25" s="103">
        <f>+K25/Tiempos!$B$11</f>
        <v>6.161061735337996E-3</v>
      </c>
      <c r="M25" s="262"/>
      <c r="N25" s="234"/>
      <c r="O25" s="234"/>
      <c r="P25" s="234"/>
      <c r="Q25" s="234"/>
    </row>
    <row r="26" spans="1:17" s="70" customFormat="1" x14ac:dyDescent="0.35">
      <c r="A26" s="81"/>
      <c r="B26" s="81">
        <v>2</v>
      </c>
      <c r="C26" s="83">
        <v>1</v>
      </c>
      <c r="D26" s="83" t="s">
        <v>46</v>
      </c>
      <c r="E26" s="113" t="s">
        <v>211</v>
      </c>
      <c r="F26" s="81" t="str">
        <f>+F25</f>
        <v>CAMION</v>
      </c>
      <c r="G26" s="143">
        <f>VLOOKUP(F26,Volumenes!$D$20:$G$184,4,FALSE)</f>
        <v>11.891054030115146</v>
      </c>
      <c r="H26" s="97"/>
      <c r="I26" s="98">
        <f>10/60</f>
        <v>0.16666666666666666</v>
      </c>
      <c r="J26" s="110">
        <f>+I26*(1+Tiempos!$C$17)</f>
        <v>0.17541666666666667</v>
      </c>
      <c r="K26" s="123">
        <f t="shared" si="0"/>
        <v>2.0858890611160321</v>
      </c>
      <c r="L26" s="98">
        <f>+K26/Tiempos!$B$11</f>
        <v>4.5345414372087653E-3</v>
      </c>
      <c r="M26" s="261"/>
      <c r="N26" s="233"/>
      <c r="O26" s="233"/>
      <c r="P26" s="233"/>
      <c r="Q26" s="233"/>
    </row>
    <row r="27" spans="1:17" s="70" customFormat="1" x14ac:dyDescent="0.35">
      <c r="A27" s="81"/>
      <c r="B27" s="81">
        <v>2</v>
      </c>
      <c r="C27" s="83">
        <v>1</v>
      </c>
      <c r="D27" s="83" t="s">
        <v>46</v>
      </c>
      <c r="E27" s="113" t="s">
        <v>212</v>
      </c>
      <c r="F27" s="81" t="s">
        <v>263</v>
      </c>
      <c r="G27" s="143">
        <f>VLOOKUP(F27,Volumenes!$D$20:$G$184,4,FALSE)</f>
        <v>580.77298905152816</v>
      </c>
      <c r="H27" s="97"/>
      <c r="I27" s="98">
        <f>5/60</f>
        <v>8.3333333333333329E-2</v>
      </c>
      <c r="J27" s="110">
        <f>+I27*(1+Tiempos!$C$17)</f>
        <v>8.7708333333333333E-2</v>
      </c>
      <c r="K27" s="123">
        <f>+J27*G27</f>
        <v>50.938630914727781</v>
      </c>
      <c r="L27" s="98">
        <f>+K27/Tiempos!$B$11</f>
        <v>0.11073615416245169</v>
      </c>
      <c r="M27" s="261"/>
      <c r="N27" s="233"/>
      <c r="O27" s="233"/>
      <c r="P27" s="233"/>
      <c r="Q27" s="233"/>
    </row>
    <row r="28" spans="1:17" x14ac:dyDescent="0.35">
      <c r="A28" s="92"/>
      <c r="B28" s="92">
        <v>2</v>
      </c>
      <c r="C28" s="100">
        <v>1</v>
      </c>
      <c r="D28" s="100" t="s">
        <v>46</v>
      </c>
      <c r="E28" s="112" t="s">
        <v>213</v>
      </c>
      <c r="F28" s="92" t="str">
        <f>+F24</f>
        <v>CAMION</v>
      </c>
      <c r="G28" s="144">
        <f>VLOOKUP(F28,Volumenes!$D$20:$G$184,4,FALSE)</f>
        <v>11.891054030115146</v>
      </c>
      <c r="H28" s="102">
        <f>+H24</f>
        <v>20</v>
      </c>
      <c r="I28" s="103">
        <f>+I24</f>
        <v>0.22644927536231885</v>
      </c>
      <c r="J28" s="111">
        <f>+I28*(1+Tiempos!$C$17)</f>
        <v>0.23833786231884058</v>
      </c>
      <c r="K28" s="146">
        <f t="shared" si="0"/>
        <v>2.8340883982554783</v>
      </c>
      <c r="L28" s="103">
        <f>+K28/Tiempos!$B$11</f>
        <v>6.161061735337996E-3</v>
      </c>
      <c r="M28" s="262"/>
      <c r="N28" s="234"/>
      <c r="O28" s="234"/>
      <c r="P28" s="234"/>
      <c r="Q28" s="234"/>
    </row>
    <row r="29" spans="1:17" x14ac:dyDescent="0.35">
      <c r="A29" s="81"/>
      <c r="B29" s="81">
        <v>2</v>
      </c>
      <c r="C29" s="83">
        <v>1</v>
      </c>
      <c r="D29" s="83" t="s">
        <v>46</v>
      </c>
      <c r="E29" s="114" t="s">
        <v>214</v>
      </c>
      <c r="F29" s="81" t="str">
        <f>+Volumenes!D67</f>
        <v>MAT_NOOK</v>
      </c>
      <c r="G29" s="143">
        <f>VLOOKUP(F29,Volumenes!$D$20:$G$184,4,FALSE)</f>
        <v>2.8619141998098518</v>
      </c>
      <c r="H29" s="97"/>
      <c r="I29" s="98">
        <f>15/60</f>
        <v>0.25</v>
      </c>
      <c r="J29" s="110">
        <f>+I29*(1+Tiempos!$C$17)</f>
        <v>0.263125</v>
      </c>
      <c r="K29" s="123">
        <f t="shared" si="0"/>
        <v>0.75304117382496727</v>
      </c>
      <c r="L29" s="98">
        <f>+K29/Tiempos!$B$11</f>
        <v>1.6370460300542766E-3</v>
      </c>
      <c r="M29" s="261"/>
      <c r="N29" s="233"/>
      <c r="O29" s="233"/>
      <c r="P29" s="233"/>
      <c r="Q29" s="233"/>
    </row>
    <row r="30" spans="1:17" ht="13.15" x14ac:dyDescent="0.4">
      <c r="A30" s="183"/>
      <c r="B30" s="81">
        <v>2</v>
      </c>
      <c r="C30" s="83">
        <v>1</v>
      </c>
      <c r="D30" s="83" t="s">
        <v>327</v>
      </c>
      <c r="E30" s="114" t="s">
        <v>225</v>
      </c>
      <c r="F30" s="81" t="str">
        <f>+Volumenes!D133</f>
        <v>VIA_ESTIVA</v>
      </c>
      <c r="G30" s="143">
        <f>VLOOKUP(F30,Volumenes!$D$20:$G$184,4,FALSE)</f>
        <v>49.729312169312173</v>
      </c>
      <c r="H30" s="180"/>
      <c r="I30" s="98">
        <f>20/60</f>
        <v>0.33333333333333331</v>
      </c>
      <c r="J30" s="110">
        <f>+I30*(1+Tiempos!$C$17)</f>
        <v>0.35083333333333333</v>
      </c>
      <c r="K30" s="123">
        <f>+J30*G30</f>
        <v>17.446700352733686</v>
      </c>
      <c r="L30" s="98">
        <f>+K30/Tiempos!$B$11</f>
        <v>3.7927609462464533E-2</v>
      </c>
      <c r="M30" s="261">
        <f>+K30/Tiempos!$B$12</f>
        <v>1.8963804731232266E-2</v>
      </c>
      <c r="N30" s="236"/>
      <c r="O30" s="236"/>
      <c r="P30" s="236"/>
      <c r="Q30" s="236"/>
    </row>
    <row r="31" spans="1:17" ht="13.15" x14ac:dyDescent="0.4">
      <c r="A31" s="184"/>
      <c r="B31" s="92">
        <v>2</v>
      </c>
      <c r="C31" s="100">
        <v>1</v>
      </c>
      <c r="D31" s="100" t="s">
        <v>327</v>
      </c>
      <c r="E31" s="178" t="s">
        <v>227</v>
      </c>
      <c r="F31" s="92" t="str">
        <f>+Volumenes!D133</f>
        <v>VIA_ESTIVA</v>
      </c>
      <c r="G31" s="144">
        <f>VLOOKUP(F31,Volumenes!$D$20:$G$184,4,FALSE)</f>
        <v>49.729312169312173</v>
      </c>
      <c r="H31" s="155">
        <f>+Tiempos!E49</f>
        <v>10</v>
      </c>
      <c r="I31" s="103">
        <f>+Tiempos!F49</f>
        <v>8.5470085470085472E-2</v>
      </c>
      <c r="J31" s="111">
        <f>+I31*(1+Tiempos!$C$17)</f>
        <v>8.9957264957264957E-2</v>
      </c>
      <c r="K31" s="146">
        <f>+J31*G31</f>
        <v>4.4735129109573561</v>
      </c>
      <c r="L31" s="103">
        <f>+K31/Tiempos!$B$11</f>
        <v>9.7250280672986009E-3</v>
      </c>
      <c r="M31" s="262">
        <f>+K31/Tiempos!$B$12</f>
        <v>4.8625140336493004E-3</v>
      </c>
      <c r="N31" s="237"/>
      <c r="O31" s="237"/>
      <c r="P31" s="237"/>
      <c r="Q31" s="237"/>
    </row>
    <row r="32" spans="1:17" x14ac:dyDescent="0.35">
      <c r="A32" s="81"/>
      <c r="B32" s="81">
        <v>2</v>
      </c>
      <c r="C32" s="83">
        <v>1</v>
      </c>
      <c r="D32" s="83" t="s">
        <v>327</v>
      </c>
      <c r="E32" s="114" t="s">
        <v>228</v>
      </c>
      <c r="F32" s="81" t="str">
        <f>+Volumenes!D132</f>
        <v>BUL_DECANT</v>
      </c>
      <c r="G32" s="143">
        <f>VLOOKUP(F32,Volumenes!$D$20:$G$184,4,FALSE)</f>
        <v>149.18793650793651</v>
      </c>
      <c r="H32" s="180"/>
      <c r="I32" s="98">
        <f>11/60</f>
        <v>0.18333333333333332</v>
      </c>
      <c r="J32" s="110">
        <f>+I32*(1+Tiempos!$C$17)</f>
        <v>0.19295833333333332</v>
      </c>
      <c r="K32" s="123">
        <f>+J32*G32</f>
        <v>28.787055582010581</v>
      </c>
      <c r="L32" s="98">
        <f>+K32/Tiempos!$B$11</f>
        <v>6.2580555613066483E-2</v>
      </c>
      <c r="M32" s="261">
        <f>+K32/Tiempos!$B$12</f>
        <v>3.1290277806533241E-2</v>
      </c>
      <c r="N32" s="236"/>
      <c r="O32" s="236"/>
      <c r="P32" s="236"/>
      <c r="Q32" s="236"/>
    </row>
    <row r="33" spans="1:17" x14ac:dyDescent="0.35">
      <c r="A33" s="81"/>
      <c r="B33" s="81">
        <v>2</v>
      </c>
      <c r="C33" s="83">
        <v>1</v>
      </c>
      <c r="D33" s="83" t="s">
        <v>327</v>
      </c>
      <c r="E33" s="114" t="s">
        <v>229</v>
      </c>
      <c r="F33" s="81" t="str">
        <f>+Volumenes!D132</f>
        <v>BUL_DECANT</v>
      </c>
      <c r="G33" s="143">
        <f>VLOOKUP(F33,Volumenes!$D$20:$G$184,4,FALSE)</f>
        <v>149.18793650793651</v>
      </c>
      <c r="H33" s="180"/>
      <c r="I33" s="98">
        <f>11/60</f>
        <v>0.18333333333333332</v>
      </c>
      <c r="J33" s="110">
        <f>+I33*(1+Tiempos!$C$17)</f>
        <v>0.19295833333333332</v>
      </c>
      <c r="K33" s="123">
        <f>+J33*G33</f>
        <v>28.787055582010581</v>
      </c>
      <c r="L33" s="98">
        <f>+K33/Tiempos!$B$11</f>
        <v>6.2580555613066483E-2</v>
      </c>
      <c r="M33" s="261">
        <f>+K33/Tiempos!$B$12</f>
        <v>3.1290277806533241E-2</v>
      </c>
      <c r="N33" s="236"/>
      <c r="O33" s="236"/>
      <c r="P33" s="236"/>
      <c r="Q33" s="236"/>
    </row>
    <row r="34" spans="1:17" x14ac:dyDescent="0.35">
      <c r="A34" s="92"/>
      <c r="B34" s="92">
        <v>2</v>
      </c>
      <c r="C34" s="100">
        <v>1</v>
      </c>
      <c r="D34" s="100" t="s">
        <v>327</v>
      </c>
      <c r="E34" s="178" t="s">
        <v>226</v>
      </c>
      <c r="F34" s="92" t="str">
        <f>+Volumenes!D132</f>
        <v>BUL_DECANT</v>
      </c>
      <c r="G34" s="144">
        <f>VLOOKUP(F34,Volumenes!$D$20:$G$184,4,FALSE)</f>
        <v>149.18793650793651</v>
      </c>
      <c r="H34" s="155">
        <v>6</v>
      </c>
      <c r="I34" s="103">
        <f>+Tiempos!F48</f>
        <v>6.7934782608695649E-2</v>
      </c>
      <c r="J34" s="111">
        <f>+I34*(1+Tiempos!$C$17)</f>
        <v>7.1501358695652176E-2</v>
      </c>
      <c r="K34" s="146">
        <f>+J34*G34</f>
        <v>10.667140161318152</v>
      </c>
      <c r="L34" s="103">
        <f>+K34/Tiempos!$B$11</f>
        <v>2.318943513330033E-2</v>
      </c>
      <c r="M34" s="262">
        <f>+K34/Tiempos!$B$12</f>
        <v>1.1594717566650165E-2</v>
      </c>
      <c r="N34" s="237"/>
      <c r="O34" s="237"/>
      <c r="P34" s="237"/>
      <c r="Q34" s="237"/>
    </row>
    <row r="35" spans="1:17" x14ac:dyDescent="0.35">
      <c r="A35" s="92"/>
      <c r="B35" s="92">
        <v>2</v>
      </c>
      <c r="C35" s="100">
        <v>1</v>
      </c>
      <c r="D35" s="100" t="s">
        <v>46</v>
      </c>
      <c r="E35" s="112" t="s">
        <v>55</v>
      </c>
      <c r="F35" s="92" t="str">
        <f>+Volumenes!D25</f>
        <v>CAMION</v>
      </c>
      <c r="G35" s="144">
        <f>VLOOKUP(F35,Volumenes!$D$20:$G$184,4,FALSE)</f>
        <v>11.891054030115146</v>
      </c>
      <c r="H35" s="155">
        <f>+Tiempos!E42</f>
        <v>20</v>
      </c>
      <c r="I35" s="103">
        <f>+Tiempos!F42</f>
        <v>0.22644927536231885</v>
      </c>
      <c r="J35" s="111">
        <f>+I35*(1+Tiempos!$C$17)</f>
        <v>0.23833786231884058</v>
      </c>
      <c r="K35" s="146">
        <f t="shared" si="0"/>
        <v>2.8340883982554783</v>
      </c>
      <c r="L35" s="103">
        <f>+K35/Tiempos!$B$11</f>
        <v>6.161061735337996E-3</v>
      </c>
      <c r="M35" s="262"/>
      <c r="N35" s="237"/>
      <c r="O35" s="237"/>
      <c r="P35" s="237"/>
      <c r="Q35" s="237"/>
    </row>
    <row r="36" spans="1:17" x14ac:dyDescent="0.35">
      <c r="A36" s="81"/>
      <c r="B36" s="81">
        <v>2</v>
      </c>
      <c r="C36" s="83">
        <v>1</v>
      </c>
      <c r="D36" s="83" t="s">
        <v>46</v>
      </c>
      <c r="E36" s="113" t="s">
        <v>238</v>
      </c>
      <c r="F36" s="81" t="s">
        <v>146</v>
      </c>
      <c r="G36" s="143">
        <f>VLOOKUP(F36,Volumenes!$D$20:$G$184,4,FALSE)</f>
        <v>2.8619141998098518</v>
      </c>
      <c r="H36" s="180"/>
      <c r="I36" s="98">
        <f>60/60</f>
        <v>1</v>
      </c>
      <c r="J36" s="110">
        <f>+I36*(1+Tiempos!$C$17)</f>
        <v>1.0525</v>
      </c>
      <c r="K36" s="123">
        <f>+J36*G36</f>
        <v>3.0121646952998691</v>
      </c>
      <c r="L36" s="98">
        <f>+K36/Tiempos!$B$11</f>
        <v>6.5481841202171065E-3</v>
      </c>
      <c r="M36" s="261"/>
      <c r="N36" s="236"/>
      <c r="O36" s="236"/>
      <c r="P36" s="236"/>
      <c r="Q36" s="236"/>
    </row>
    <row r="37" spans="1:17" x14ac:dyDescent="0.35">
      <c r="A37" s="81"/>
      <c r="B37" s="81">
        <v>2</v>
      </c>
      <c r="C37" s="83">
        <v>1</v>
      </c>
      <c r="D37" s="83" t="s">
        <v>46</v>
      </c>
      <c r="E37" s="113" t="s">
        <v>215</v>
      </c>
      <c r="F37" s="81" t="str">
        <f>+F35</f>
        <v>CAMION</v>
      </c>
      <c r="G37" s="143">
        <f>VLOOKUP(F37,Volumenes!$D$20:$G$184,4,FALSE)</f>
        <v>11.891054030115146</v>
      </c>
      <c r="H37" s="97"/>
      <c r="I37" s="98">
        <v>5</v>
      </c>
      <c r="J37" s="110">
        <f>+I37*(1+Tiempos!$C$17)</f>
        <v>5.2625000000000002</v>
      </c>
      <c r="K37" s="123">
        <f t="shared" si="0"/>
        <v>62.576671833480958</v>
      </c>
      <c r="L37" s="98">
        <f>+K37/Tiempos!$B$11</f>
        <v>0.13603624311626294</v>
      </c>
      <c r="M37" s="261"/>
      <c r="N37" s="236"/>
      <c r="O37" s="236"/>
      <c r="P37" s="236"/>
      <c r="Q37" s="236"/>
    </row>
    <row r="38" spans="1:17" x14ac:dyDescent="0.35">
      <c r="A38" s="81"/>
      <c r="B38" s="81">
        <v>2</v>
      </c>
      <c r="C38" s="83">
        <v>1</v>
      </c>
      <c r="D38" s="83" t="s">
        <v>46</v>
      </c>
      <c r="E38" s="113" t="s">
        <v>216</v>
      </c>
      <c r="F38" s="81" t="s">
        <v>217</v>
      </c>
      <c r="G38" s="143">
        <f>VLOOKUP(F38,Volumenes!$D$20:$G$184,4,FALSE)</f>
        <v>11.615459781030564</v>
      </c>
      <c r="H38" s="97"/>
      <c r="I38" s="98">
        <v>3</v>
      </c>
      <c r="J38" s="110">
        <f>+I38*(1+Tiempos!$C$17)</f>
        <v>3.1574999999999998</v>
      </c>
      <c r="K38" s="123">
        <f>+J38*G38</f>
        <v>36.675814258604007</v>
      </c>
      <c r="L38" s="98">
        <f>+K38/Tiempos!$B$11</f>
        <v>7.9730030996965226E-2</v>
      </c>
      <c r="M38" s="261"/>
      <c r="N38" s="236"/>
      <c r="O38" s="236"/>
      <c r="P38" s="236"/>
      <c r="Q38" s="236"/>
    </row>
    <row r="39" spans="1:17" x14ac:dyDescent="0.35">
      <c r="A39" s="81"/>
      <c r="B39" s="81">
        <v>2</v>
      </c>
      <c r="C39" s="83">
        <v>1</v>
      </c>
      <c r="D39" s="83" t="s">
        <v>46</v>
      </c>
      <c r="E39" s="113" t="s">
        <v>56</v>
      </c>
      <c r="F39" s="81" t="str">
        <f>+F37</f>
        <v>CAMION</v>
      </c>
      <c r="G39" s="143">
        <f>VLOOKUP(F39,Volumenes!$D$20:$G$184,4,FALSE)</f>
        <v>11.891054030115146</v>
      </c>
      <c r="H39" s="97"/>
      <c r="I39" s="98">
        <f>120/60</f>
        <v>2</v>
      </c>
      <c r="J39" s="110">
        <f>+I39*(1+Tiempos!$C$17)</f>
        <v>2.105</v>
      </c>
      <c r="K39" s="123">
        <f t="shared" si="0"/>
        <v>25.030668733392382</v>
      </c>
      <c r="L39" s="98">
        <f>+K39/Tiempos!$B$11</f>
        <v>5.4414497246505177E-2</v>
      </c>
      <c r="M39" s="261"/>
      <c r="N39" s="236"/>
      <c r="O39" s="236"/>
      <c r="P39" s="236"/>
      <c r="Q39" s="236"/>
    </row>
    <row r="40" spans="1:17" x14ac:dyDescent="0.35">
      <c r="A40" s="81"/>
      <c r="B40" s="81">
        <v>2</v>
      </c>
      <c r="C40" s="83">
        <v>1</v>
      </c>
      <c r="D40" s="83" t="s">
        <v>46</v>
      </c>
      <c r="E40" s="113" t="s">
        <v>218</v>
      </c>
      <c r="F40" s="81" t="s">
        <v>219</v>
      </c>
      <c r="G40" s="143">
        <f>VLOOKUP(F40,Volumenes!$D$20:$G$184,4,FALSE)</f>
        <v>1.1615459781030566</v>
      </c>
      <c r="H40" s="97"/>
      <c r="I40" s="98">
        <v>10</v>
      </c>
      <c r="J40" s="110">
        <f>+I40*(1+Tiempos!$C$17)</f>
        <v>10.525</v>
      </c>
      <c r="K40" s="123">
        <f>+J40*G40</f>
        <v>12.225271419534671</v>
      </c>
      <c r="L40" s="98">
        <f>+K40/Tiempos!$B$11</f>
        <v>2.6576676998988417E-2</v>
      </c>
      <c r="M40" s="261"/>
      <c r="N40" s="236"/>
      <c r="O40" s="236"/>
      <c r="P40" s="236"/>
      <c r="Q40" s="236"/>
    </row>
    <row r="41" spans="1:17" x14ac:dyDescent="0.35">
      <c r="A41" s="92"/>
      <c r="B41" s="92">
        <v>2</v>
      </c>
      <c r="C41" s="100">
        <v>1</v>
      </c>
      <c r="D41" s="100" t="s">
        <v>46</v>
      </c>
      <c r="E41" s="112" t="s">
        <v>57</v>
      </c>
      <c r="F41" s="92" t="str">
        <f>+F35</f>
        <v>CAMION</v>
      </c>
      <c r="G41" s="144">
        <f>VLOOKUP(F41,Volumenes!$D$20:$G$184,4,FALSE)</f>
        <v>11.891054030115146</v>
      </c>
      <c r="H41" s="155">
        <f>+H35</f>
        <v>20</v>
      </c>
      <c r="I41" s="103">
        <f>+I35</f>
        <v>0.22644927536231885</v>
      </c>
      <c r="J41" s="111">
        <f>+I41*(1+Tiempos!$C$17)</f>
        <v>0.23833786231884058</v>
      </c>
      <c r="K41" s="146">
        <f t="shared" si="0"/>
        <v>2.8340883982554783</v>
      </c>
      <c r="L41" s="103">
        <f>+K41/Tiempos!$B$11</f>
        <v>6.161061735337996E-3</v>
      </c>
      <c r="M41" s="262"/>
      <c r="N41" s="237"/>
      <c r="O41" s="237"/>
      <c r="P41" s="237"/>
      <c r="Q41" s="237"/>
    </row>
    <row r="42" spans="1:17" x14ac:dyDescent="0.35">
      <c r="A42" s="81"/>
      <c r="B42" s="81">
        <v>2</v>
      </c>
      <c r="C42" s="83">
        <v>1</v>
      </c>
      <c r="D42" s="83" t="s">
        <v>46</v>
      </c>
      <c r="E42" s="113" t="s">
        <v>239</v>
      </c>
      <c r="F42" s="81" t="s">
        <v>263</v>
      </c>
      <c r="G42" s="143">
        <f>VLOOKUP(F42,Volumenes!$D$20:$G$184,4,FALSE)</f>
        <v>580.77298905152816</v>
      </c>
      <c r="H42" s="97"/>
      <c r="I42" s="98">
        <f>6/60</f>
        <v>0.1</v>
      </c>
      <c r="J42" s="110">
        <f>+I42*(1+Tiempos!$C$17)</f>
        <v>0.10525000000000001</v>
      </c>
      <c r="K42" s="123">
        <f t="shared" si="0"/>
        <v>61.126357097673342</v>
      </c>
      <c r="L42" s="98">
        <f>+K42/Tiempos!$B$11</f>
        <v>0.13288338499494204</v>
      </c>
      <c r="M42" s="261"/>
      <c r="N42" s="236"/>
      <c r="O42" s="236"/>
      <c r="P42" s="236"/>
      <c r="Q42" s="236"/>
    </row>
    <row r="43" spans="1:17" x14ac:dyDescent="0.35">
      <c r="A43" s="92"/>
      <c r="B43" s="92">
        <v>2</v>
      </c>
      <c r="C43" s="100">
        <v>1</v>
      </c>
      <c r="D43" s="100" t="s">
        <v>46</v>
      </c>
      <c r="E43" s="112" t="s">
        <v>58</v>
      </c>
      <c r="F43" s="92" t="str">
        <f>+F24</f>
        <v>CAMION</v>
      </c>
      <c r="G43" s="144">
        <f>VLOOKUP(F43,Volumenes!$D$20:$G$184,4,FALSE)</f>
        <v>11.891054030115146</v>
      </c>
      <c r="H43" s="102">
        <f>+H24</f>
        <v>20</v>
      </c>
      <c r="I43" s="103">
        <f>+I24</f>
        <v>0.22644927536231885</v>
      </c>
      <c r="J43" s="111">
        <f>+I43*(1+Tiempos!$C$17)</f>
        <v>0.23833786231884058</v>
      </c>
      <c r="K43" s="146">
        <f t="shared" si="0"/>
        <v>2.8340883982554783</v>
      </c>
      <c r="L43" s="103">
        <f>+K43/Tiempos!$B$11</f>
        <v>6.161061735337996E-3</v>
      </c>
      <c r="M43" s="262"/>
      <c r="N43" s="237"/>
      <c r="O43" s="237"/>
      <c r="P43" s="237"/>
      <c r="Q43" s="237"/>
    </row>
    <row r="44" spans="1:17" x14ac:dyDescent="0.35">
      <c r="A44" s="92"/>
      <c r="B44" s="92">
        <v>2</v>
      </c>
      <c r="C44" s="100">
        <v>1</v>
      </c>
      <c r="D44" s="100" t="s">
        <v>327</v>
      </c>
      <c r="E44" s="112" t="s">
        <v>222</v>
      </c>
      <c r="F44" s="92" t="s">
        <v>264</v>
      </c>
      <c r="G44" s="144">
        <f>VLOOKUP(F44,Volumenes!$D$20:$G$184,4,FALSE)</f>
        <v>145.19324726288204</v>
      </c>
      <c r="H44" s="102">
        <v>10</v>
      </c>
      <c r="I44" s="103">
        <f>VLOOKUP(F44,Tiempos!$D$42:$F$105,3,FALSE)</f>
        <v>8.5470085470085472E-2</v>
      </c>
      <c r="J44" s="111">
        <f>+I44*(1+Tiempos!$C$17)</f>
        <v>8.9957264957264957E-2</v>
      </c>
      <c r="K44" s="146">
        <f>+J44*G44</f>
        <v>13.061187414032764</v>
      </c>
      <c r="L44" s="103">
        <f>+K44/Tiempos!$B$11</f>
        <v>2.839388568267992E-2</v>
      </c>
      <c r="M44" s="262">
        <f>+K44/Tiempos!$B$12</f>
        <v>1.419694284133996E-2</v>
      </c>
      <c r="N44" s="237"/>
      <c r="O44" s="237"/>
      <c r="P44" s="237"/>
      <c r="Q44" s="237"/>
    </row>
    <row r="45" spans="1:17" x14ac:dyDescent="0.35">
      <c r="A45" s="81"/>
      <c r="B45" s="81">
        <v>2</v>
      </c>
      <c r="C45" s="83">
        <v>1</v>
      </c>
      <c r="D45" s="83" t="s">
        <v>327</v>
      </c>
      <c r="E45" s="113" t="s">
        <v>262</v>
      </c>
      <c r="F45" s="81" t="s">
        <v>264</v>
      </c>
      <c r="G45" s="143">
        <f>VLOOKUP(F45,Volumenes!$D$20:$G$184,4,FALSE)</f>
        <v>145.19324726288204</v>
      </c>
      <c r="H45" s="97"/>
      <c r="I45" s="98">
        <f>15/60</f>
        <v>0.25</v>
      </c>
      <c r="J45" s="110">
        <f>+I45*(1+Tiempos!$C$17)</f>
        <v>0.263125</v>
      </c>
      <c r="K45" s="123">
        <f>+J45*G45</f>
        <v>38.203973186045836</v>
      </c>
      <c r="L45" s="98">
        <f>+K45/Tiempos!$B$11</f>
        <v>8.3052115621838771E-2</v>
      </c>
      <c r="M45" s="261">
        <f>+K45/Tiempos!$B$12</f>
        <v>4.1526057810919385E-2</v>
      </c>
      <c r="N45" s="236"/>
      <c r="O45" s="236"/>
      <c r="P45" s="236"/>
      <c r="Q45" s="236"/>
    </row>
    <row r="46" spans="1:17" x14ac:dyDescent="0.35">
      <c r="A46" s="92"/>
      <c r="B46" s="92">
        <v>2</v>
      </c>
      <c r="C46" s="100">
        <v>1</v>
      </c>
      <c r="D46" s="100" t="s">
        <v>327</v>
      </c>
      <c r="E46" s="178" t="s">
        <v>59</v>
      </c>
      <c r="F46" s="92" t="str">
        <f>+F43</f>
        <v>CAMION</v>
      </c>
      <c r="G46" s="144">
        <f>VLOOKUP(F46,Volumenes!$D$20:$G$184,4,FALSE)</f>
        <v>11.891054030115146</v>
      </c>
      <c r="H46" s="155">
        <f>+Tiempos!E42</f>
        <v>20</v>
      </c>
      <c r="I46" s="103">
        <f>+Tiempos!F42</f>
        <v>0.22644927536231885</v>
      </c>
      <c r="J46" s="111">
        <f>+I46*(1+Tiempos!$C$17)</f>
        <v>0.23833786231884058</v>
      </c>
      <c r="K46" s="146">
        <f t="shared" si="0"/>
        <v>2.8340883982554783</v>
      </c>
      <c r="L46" s="103">
        <f>+K46/Tiempos!$B$11</f>
        <v>6.161061735337996E-3</v>
      </c>
      <c r="M46" s="262">
        <f>+K46/Tiempos!$B$12</f>
        <v>3.080530867668998E-3</v>
      </c>
      <c r="N46" s="234"/>
      <c r="O46" s="234"/>
      <c r="P46" s="234"/>
      <c r="Q46" s="234"/>
    </row>
    <row r="47" spans="1:17" x14ac:dyDescent="0.35">
      <c r="A47" s="92"/>
      <c r="B47" s="92">
        <v>2</v>
      </c>
      <c r="C47" s="100">
        <v>1</v>
      </c>
      <c r="D47" s="100" t="s">
        <v>69</v>
      </c>
      <c r="E47" s="178" t="s">
        <v>829</v>
      </c>
      <c r="F47" s="393" t="str">
        <f>+Volumenes!D217</f>
        <v>REC_TUB</v>
      </c>
      <c r="G47" s="144">
        <f>VLOOKUP(F47,Volumenes!D19:G255,4,FALSE)</f>
        <v>1</v>
      </c>
      <c r="H47" s="155">
        <f>VLOOKUP(F47,Tiempos!$D$42:$F$113,2,FALSE)*2</f>
        <v>300</v>
      </c>
      <c r="I47" s="103">
        <f>+Tiempos!F43</f>
        <v>0.17094017094017094</v>
      </c>
      <c r="J47" s="111">
        <f>+I47*(1+Tiempos!$C$17)</f>
        <v>0.17991452991452991</v>
      </c>
      <c r="K47" s="146">
        <f t="shared" si="0"/>
        <v>0.17991452991452991</v>
      </c>
      <c r="L47" s="103">
        <f>+K47/Tiempos!$B$11</f>
        <v>3.9111854329245636E-4</v>
      </c>
      <c r="M47" s="262">
        <f>+K47/Tiempos!$B$12</f>
        <v>1.9555927164622818E-4</v>
      </c>
      <c r="N47" s="234"/>
      <c r="O47" s="234"/>
      <c r="P47" s="234"/>
      <c r="Q47" s="234"/>
    </row>
    <row r="48" spans="1:17" x14ac:dyDescent="0.35">
      <c r="A48" s="75"/>
      <c r="B48" s="75"/>
      <c r="E48" s="120"/>
      <c r="F48" s="75"/>
      <c r="G48" s="152"/>
      <c r="H48" s="177"/>
      <c r="I48" s="109"/>
      <c r="J48" s="107"/>
      <c r="K48" s="162"/>
      <c r="L48" s="308">
        <f>SUM(L9:L47)</f>
        <v>1.3441045774580147</v>
      </c>
      <c r="M48" s="308">
        <f>SUM(M9:M47)</f>
        <v>0.30455803285234506</v>
      </c>
      <c r="N48" s="45"/>
      <c r="O48" s="45"/>
      <c r="P48" s="45"/>
      <c r="Q48" s="45"/>
    </row>
    <row r="49" spans="1:17" x14ac:dyDescent="0.35">
      <c r="A49" s="75"/>
      <c r="B49" s="75"/>
      <c r="E49" s="120"/>
      <c r="F49" s="75"/>
      <c r="G49" s="152"/>
      <c r="H49" s="177"/>
      <c r="I49" s="109"/>
      <c r="J49" s="107"/>
      <c r="K49" s="162"/>
      <c r="L49" s="109"/>
      <c r="M49" s="45"/>
      <c r="N49" s="45"/>
      <c r="O49" s="45"/>
      <c r="P49" s="45"/>
      <c r="Q49" s="45"/>
    </row>
    <row r="50" spans="1:17" ht="13.15" x14ac:dyDescent="0.4">
      <c r="A50" s="179" t="s">
        <v>869</v>
      </c>
      <c r="B50" s="179"/>
      <c r="E50" s="120"/>
      <c r="F50" s="75"/>
      <c r="G50" s="152"/>
      <c r="H50" s="177"/>
      <c r="I50" s="109"/>
      <c r="J50" s="107"/>
      <c r="K50" s="162"/>
      <c r="L50" s="109"/>
      <c r="M50" s="45"/>
      <c r="N50" s="45"/>
      <c r="O50" s="45"/>
      <c r="P50" s="45"/>
      <c r="Q50" s="45"/>
    </row>
    <row r="51" spans="1:17" s="70" customFormat="1" x14ac:dyDescent="0.35">
      <c r="A51" s="81"/>
      <c r="B51" s="81">
        <v>2</v>
      </c>
      <c r="C51" s="83">
        <v>1</v>
      </c>
      <c r="D51" s="83" t="s">
        <v>46</v>
      </c>
      <c r="E51" s="113" t="s">
        <v>231</v>
      </c>
      <c r="F51" s="83" t="s">
        <v>204</v>
      </c>
      <c r="G51" s="180">
        <f>VLOOKUP(F51,Volumenes!$D$20:$G$184,4,FALSE)</f>
        <v>4</v>
      </c>
      <c r="H51" s="97"/>
      <c r="I51" s="123">
        <v>1</v>
      </c>
      <c r="J51" s="110">
        <f>+I51*(1+Tiempos!$C$17)</f>
        <v>1.0525</v>
      </c>
      <c r="K51" s="123">
        <f>+J51*G51</f>
        <v>4.21</v>
      </c>
      <c r="L51" s="98">
        <f>+K51/Tiempos!$B$11</f>
        <v>9.1521739130434789E-3</v>
      </c>
      <c r="M51" s="261"/>
      <c r="N51" s="233"/>
      <c r="O51" s="233"/>
      <c r="P51" s="233"/>
      <c r="Q51" s="233"/>
    </row>
    <row r="52" spans="1:17" s="70" customFormat="1" x14ac:dyDescent="0.35">
      <c r="A52" s="92"/>
      <c r="B52" s="92">
        <v>2</v>
      </c>
      <c r="C52" s="100">
        <v>1</v>
      </c>
      <c r="D52" s="100" t="s">
        <v>46</v>
      </c>
      <c r="E52" s="112" t="s">
        <v>48</v>
      </c>
      <c r="F52" s="100" t="s">
        <v>204</v>
      </c>
      <c r="G52" s="155">
        <f>VLOOKUP(F52,Volumenes!$D$20:$G$184,4,FALSE)</f>
        <v>4</v>
      </c>
      <c r="H52" s="155">
        <f>VLOOKUP(F52,Tiempos!$D$42:$F$113,2,FALSE)</f>
        <v>20</v>
      </c>
      <c r="I52" s="103">
        <f>VLOOKUP(F52,Tiempos!$D$42:$F$111,3,FALSE)</f>
        <v>0.22644927536231885</v>
      </c>
      <c r="J52" s="111">
        <f>+I52*(1+Tiempos!$C$17)</f>
        <v>0.23833786231884058</v>
      </c>
      <c r="K52" s="146">
        <f>+J52*G52</f>
        <v>0.95335144927536231</v>
      </c>
      <c r="L52" s="103">
        <f>+K52/Tiempos!B11</f>
        <v>2.0725031505986137E-3</v>
      </c>
      <c r="M52" s="262"/>
      <c r="N52" s="234"/>
      <c r="O52" s="234"/>
      <c r="P52" s="234"/>
      <c r="Q52" s="234"/>
    </row>
    <row r="53" spans="1:17" s="70" customFormat="1" x14ac:dyDescent="0.35">
      <c r="A53" s="81"/>
      <c r="B53" s="81">
        <v>2</v>
      </c>
      <c r="C53" s="83">
        <v>1</v>
      </c>
      <c r="D53" s="83" t="s">
        <v>327</v>
      </c>
      <c r="E53" s="113" t="s">
        <v>79</v>
      </c>
      <c r="F53" s="83" t="s">
        <v>244</v>
      </c>
      <c r="G53" s="143">
        <f>VLOOKUP(F53,Volumenes!$D$20:$G$184,4,FALSE)</f>
        <v>22.833913912174783</v>
      </c>
      <c r="H53" s="97"/>
      <c r="I53" s="98">
        <f>25/60</f>
        <v>0.41666666666666669</v>
      </c>
      <c r="J53" s="110">
        <f>+I53*(1+Tiempos!$C$17)</f>
        <v>0.43854166666666666</v>
      </c>
      <c r="K53" s="123">
        <f t="shared" ref="K53:K72" si="1">+J53*G53</f>
        <v>10.013622663568317</v>
      </c>
      <c r="L53" s="98">
        <f>+K53/Tiempos!$B$11</f>
        <v>2.1768744920800689E-2</v>
      </c>
      <c r="M53" s="261">
        <f>+K53/Tiempos!$B$12</f>
        <v>1.0884372460400344E-2</v>
      </c>
      <c r="N53" s="236"/>
      <c r="O53" s="236"/>
      <c r="P53" s="236"/>
      <c r="Q53" s="236"/>
    </row>
    <row r="54" spans="1:17" s="70" customFormat="1" x14ac:dyDescent="0.35">
      <c r="A54" s="92"/>
      <c r="B54" s="92">
        <v>2</v>
      </c>
      <c r="C54" s="100">
        <v>1</v>
      </c>
      <c r="D54" s="100" t="s">
        <v>327</v>
      </c>
      <c r="E54" s="112" t="s">
        <v>80</v>
      </c>
      <c r="F54" s="100" t="s">
        <v>204</v>
      </c>
      <c r="G54" s="155">
        <f>VLOOKUP(F54,Volumenes!$D$20:$G$184,4,FALSE)</f>
        <v>4</v>
      </c>
      <c r="H54" s="155">
        <v>10</v>
      </c>
      <c r="I54" s="103">
        <f>+(H54/Tiempos!B29)/60</f>
        <v>8.5470085470085472E-2</v>
      </c>
      <c r="J54" s="111">
        <f>+I54*(1+Tiempos!$C$17)</f>
        <v>8.9957264957264957E-2</v>
      </c>
      <c r="K54" s="146">
        <f t="shared" si="1"/>
        <v>0.35982905982905983</v>
      </c>
      <c r="L54" s="103">
        <f>+K54/Tiempos!$B$11</f>
        <v>7.8223708658491271E-4</v>
      </c>
      <c r="M54" s="262">
        <f>+K54/Tiempos!$B$12</f>
        <v>3.9111854329245636E-4</v>
      </c>
      <c r="N54" s="237"/>
      <c r="O54" s="237"/>
      <c r="P54" s="237"/>
      <c r="Q54" s="237"/>
    </row>
    <row r="55" spans="1:17" s="70" customFormat="1" x14ac:dyDescent="0.35">
      <c r="A55" s="81"/>
      <c r="B55" s="81">
        <v>2</v>
      </c>
      <c r="C55" s="83">
        <v>1</v>
      </c>
      <c r="D55" s="83" t="s">
        <v>327</v>
      </c>
      <c r="E55" s="113" t="s">
        <v>81</v>
      </c>
      <c r="F55" s="83" t="s">
        <v>244</v>
      </c>
      <c r="G55" s="143">
        <f>VLOOKUP(F55,Volumenes!$D$20:$G$184,4,FALSE)</f>
        <v>22.833913912174783</v>
      </c>
      <c r="H55" s="97"/>
      <c r="I55" s="98">
        <f>15/60</f>
        <v>0.25</v>
      </c>
      <c r="J55" s="110">
        <f>+I55*(1+Tiempos!$C$17)</f>
        <v>0.263125</v>
      </c>
      <c r="K55" s="123">
        <f t="shared" si="1"/>
        <v>6.0081735981409894</v>
      </c>
      <c r="L55" s="98">
        <f>+K55/Tiempos!$B$11</f>
        <v>1.3061246952480413E-2</v>
      </c>
      <c r="M55" s="261">
        <f>+K55/Tiempos!$B$12</f>
        <v>6.5306234762402063E-3</v>
      </c>
      <c r="N55" s="236"/>
      <c r="O55" s="236"/>
      <c r="P55" s="236"/>
      <c r="Q55" s="236"/>
    </row>
    <row r="56" spans="1:17" s="70" customFormat="1" x14ac:dyDescent="0.35">
      <c r="A56" s="92"/>
      <c r="B56" s="92">
        <v>2</v>
      </c>
      <c r="C56" s="100">
        <v>1</v>
      </c>
      <c r="D56" s="100" t="s">
        <v>46</v>
      </c>
      <c r="E56" s="112" t="s">
        <v>52</v>
      </c>
      <c r="F56" s="100" t="s">
        <v>204</v>
      </c>
      <c r="G56" s="155">
        <f>VLOOKUP(F56,Volumenes!$D$20:$G$184,4,FALSE)</f>
        <v>4</v>
      </c>
      <c r="H56" s="155">
        <f>+Tiempos!E88</f>
        <v>40</v>
      </c>
      <c r="I56" s="103">
        <f>+Tiempos!F88</f>
        <v>0.45289855072463769</v>
      </c>
      <c r="J56" s="111">
        <f>+I56*(1+Tiempos!$C$17)</f>
        <v>0.47667572463768115</v>
      </c>
      <c r="K56" s="146">
        <f t="shared" si="1"/>
        <v>1.9067028985507246</v>
      </c>
      <c r="L56" s="103">
        <f>+K56/Tiempos!$B$11</f>
        <v>4.1450063011972274E-3</v>
      </c>
      <c r="M56" s="262"/>
      <c r="N56" s="237"/>
      <c r="O56" s="237"/>
      <c r="P56" s="237"/>
      <c r="Q56" s="237"/>
    </row>
    <row r="57" spans="1:17" s="70" customFormat="1" x14ac:dyDescent="0.35">
      <c r="A57" s="81"/>
      <c r="B57" s="81">
        <v>2</v>
      </c>
      <c r="C57" s="83">
        <v>1</v>
      </c>
      <c r="D57" s="83" t="s">
        <v>46</v>
      </c>
      <c r="E57" s="113" t="s">
        <v>232</v>
      </c>
      <c r="F57" s="81" t="s">
        <v>244</v>
      </c>
      <c r="G57" s="208">
        <f>VLOOKUP(F57,Volumenes!$D$20:$G$184,4,FALSE)</f>
        <v>22.833913912174783</v>
      </c>
      <c r="H57" s="97"/>
      <c r="I57" s="98">
        <f>8/60</f>
        <v>0.13333333333333333</v>
      </c>
      <c r="J57" s="110">
        <f>+I57*(1+Tiempos!$C$17)</f>
        <v>0.14033333333333334</v>
      </c>
      <c r="K57" s="123">
        <f t="shared" si="1"/>
        <v>3.2043592523418614</v>
      </c>
      <c r="L57" s="98">
        <f>+K57/Tiempos!$B$11</f>
        <v>6.9659983746562203E-3</v>
      </c>
      <c r="M57" s="261"/>
      <c r="N57" s="236"/>
      <c r="O57" s="236"/>
      <c r="P57" s="236"/>
      <c r="Q57" s="236"/>
    </row>
    <row r="58" spans="1:17" s="70" customFormat="1" x14ac:dyDescent="0.35">
      <c r="A58" s="92"/>
      <c r="B58" s="92">
        <v>2</v>
      </c>
      <c r="C58" s="100">
        <v>1</v>
      </c>
      <c r="D58" s="100" t="s">
        <v>46</v>
      </c>
      <c r="E58" s="112" t="s">
        <v>235</v>
      </c>
      <c r="F58" s="92" t="s">
        <v>204</v>
      </c>
      <c r="G58" s="209">
        <f>VLOOKUP(F58,Volumenes!$D$20:$G$184,4,FALSE)</f>
        <v>4</v>
      </c>
      <c r="H58" s="102">
        <f>+Tiempos!E47</f>
        <v>20</v>
      </c>
      <c r="I58" s="103">
        <f>+(H58/Tiempos!B28/60)</f>
        <v>0.22644927536231885</v>
      </c>
      <c r="J58" s="111">
        <f>+I58*(1+Tiempos!$C$17)</f>
        <v>0.23833786231884058</v>
      </c>
      <c r="K58" s="146">
        <f t="shared" si="1"/>
        <v>0.95335144927536231</v>
      </c>
      <c r="L58" s="103">
        <f>+K58/Tiempos!$B$11</f>
        <v>2.0725031505986137E-3</v>
      </c>
      <c r="M58" s="262"/>
      <c r="N58" s="237"/>
      <c r="O58" s="237"/>
      <c r="P58" s="237"/>
      <c r="Q58" s="237"/>
    </row>
    <row r="59" spans="1:17" s="70" customFormat="1" x14ac:dyDescent="0.35">
      <c r="A59" s="92"/>
      <c r="B59" s="92">
        <v>2</v>
      </c>
      <c r="C59" s="100">
        <v>1</v>
      </c>
      <c r="D59" s="100" t="s">
        <v>46</v>
      </c>
      <c r="E59" s="112" t="s">
        <v>54</v>
      </c>
      <c r="F59" s="92" t="s">
        <v>204</v>
      </c>
      <c r="G59" s="209">
        <f>VLOOKUP(F59,Volumenes!$D$20:$G$184,4,FALSE)</f>
        <v>4</v>
      </c>
      <c r="H59" s="155">
        <v>20</v>
      </c>
      <c r="I59" s="103">
        <f>+(H59/Tiempos!B28/60)</f>
        <v>0.22644927536231885</v>
      </c>
      <c r="J59" s="111">
        <f>+I59*(1+Tiempos!$C$17)</f>
        <v>0.23833786231884058</v>
      </c>
      <c r="K59" s="146">
        <f t="shared" si="1"/>
        <v>0.95335144927536231</v>
      </c>
      <c r="L59" s="103">
        <f>+K59/Tiempos!$B$11</f>
        <v>2.0725031505986137E-3</v>
      </c>
      <c r="M59" s="262"/>
      <c r="N59" s="237"/>
      <c r="O59" s="237"/>
      <c r="P59" s="237"/>
      <c r="Q59" s="237"/>
    </row>
    <row r="60" spans="1:17" s="70" customFormat="1" x14ac:dyDescent="0.35">
      <c r="A60" s="81"/>
      <c r="B60" s="81">
        <v>2</v>
      </c>
      <c r="C60" s="83">
        <v>1</v>
      </c>
      <c r="D60" s="83" t="s">
        <v>46</v>
      </c>
      <c r="E60" s="113" t="s">
        <v>233</v>
      </c>
      <c r="F60" s="81" t="s">
        <v>204</v>
      </c>
      <c r="G60" s="208">
        <f>VLOOKUP(F60,Volumenes!$D$20:$G$184,4,FALSE)</f>
        <v>4</v>
      </c>
      <c r="H60" s="97"/>
      <c r="I60" s="98">
        <f>10/60</f>
        <v>0.16666666666666666</v>
      </c>
      <c r="J60" s="110">
        <f>+I60*(1+Tiempos!$C$17)</f>
        <v>0.17541666666666667</v>
      </c>
      <c r="K60" s="123">
        <f t="shared" si="1"/>
        <v>0.70166666666666666</v>
      </c>
      <c r="L60" s="98">
        <f>+K60/Tiempos!$B$11</f>
        <v>1.5253623188405797E-3</v>
      </c>
      <c r="M60" s="261"/>
      <c r="N60" s="236"/>
      <c r="O60" s="236"/>
      <c r="P60" s="236"/>
      <c r="Q60" s="236"/>
    </row>
    <row r="61" spans="1:17" x14ac:dyDescent="0.35">
      <c r="A61" s="81"/>
      <c r="B61" s="81">
        <v>2</v>
      </c>
      <c r="C61" s="83">
        <v>1</v>
      </c>
      <c r="D61" s="83" t="s">
        <v>46</v>
      </c>
      <c r="E61" s="113" t="s">
        <v>234</v>
      </c>
      <c r="F61" s="81" t="s">
        <v>244</v>
      </c>
      <c r="G61" s="143">
        <f>VLOOKUP(F61,Volumenes!$D$20:$G$184,4,FALSE)</f>
        <v>22.833913912174783</v>
      </c>
      <c r="H61" s="97"/>
      <c r="I61" s="98">
        <f>5/60</f>
        <v>8.3333333333333329E-2</v>
      </c>
      <c r="J61" s="110">
        <f>+I61*(1+Tiempos!$C$17)</f>
        <v>8.7708333333333333E-2</v>
      </c>
      <c r="K61" s="123">
        <f t="shared" si="1"/>
        <v>2.0027245327136631</v>
      </c>
      <c r="L61" s="98">
        <f>+K61/Tiempos!$B$11</f>
        <v>4.3537489841601372E-3</v>
      </c>
      <c r="M61" s="261"/>
      <c r="N61" s="236"/>
      <c r="O61" s="236"/>
      <c r="P61" s="236"/>
      <c r="Q61" s="236"/>
    </row>
    <row r="62" spans="1:17" x14ac:dyDescent="0.35">
      <c r="A62" s="92"/>
      <c r="B62" s="92">
        <v>2</v>
      </c>
      <c r="C62" s="100">
        <v>1</v>
      </c>
      <c r="D62" s="100" t="s">
        <v>46</v>
      </c>
      <c r="E62" s="112" t="s">
        <v>53</v>
      </c>
      <c r="F62" s="92" t="s">
        <v>204</v>
      </c>
      <c r="G62" s="144">
        <f>VLOOKUP(F62,Volumenes!$D$20:$G$184,4,FALSE)</f>
        <v>4</v>
      </c>
      <c r="H62" s="102">
        <f>+H58</f>
        <v>20</v>
      </c>
      <c r="I62" s="103">
        <f>+I58</f>
        <v>0.22644927536231885</v>
      </c>
      <c r="J62" s="111">
        <f>+I62*(1+Tiempos!$C$17)</f>
        <v>0.23833786231884058</v>
      </c>
      <c r="K62" s="146">
        <f t="shared" si="1"/>
        <v>0.95335144927536231</v>
      </c>
      <c r="L62" s="103">
        <f>+K62/Tiempos!$B$11</f>
        <v>2.0725031505986137E-3</v>
      </c>
      <c r="M62" s="262"/>
      <c r="N62" s="237"/>
      <c r="O62" s="237"/>
      <c r="P62" s="237"/>
      <c r="Q62" s="237"/>
    </row>
    <row r="63" spans="1:17" x14ac:dyDescent="0.35">
      <c r="A63" s="81"/>
      <c r="B63" s="81">
        <v>2</v>
      </c>
      <c r="C63" s="83">
        <v>1</v>
      </c>
      <c r="D63" s="83" t="s">
        <v>46</v>
      </c>
      <c r="E63" s="114" t="s">
        <v>236</v>
      </c>
      <c r="F63" s="81" t="s">
        <v>246</v>
      </c>
      <c r="G63" s="143">
        <f>VLOOKUP(F63,Volumenes!$D$20:$G$184,4,FALSE)</f>
        <v>0.68501741736524357</v>
      </c>
      <c r="H63" s="97"/>
      <c r="I63" s="98">
        <f>30/60</f>
        <v>0.5</v>
      </c>
      <c r="J63" s="110">
        <f>+I63*(1+Tiempos!$C$17)</f>
        <v>0.52625</v>
      </c>
      <c r="K63" s="123">
        <f t="shared" si="1"/>
        <v>0.36049041588845943</v>
      </c>
      <c r="L63" s="98">
        <f>+K63/Tiempos!$B$11</f>
        <v>7.8367481714882489E-4</v>
      </c>
      <c r="M63" s="261"/>
      <c r="N63" s="236"/>
      <c r="O63" s="236"/>
      <c r="P63" s="236"/>
      <c r="Q63" s="236"/>
    </row>
    <row r="64" spans="1:17" x14ac:dyDescent="0.35">
      <c r="A64" s="92"/>
      <c r="B64" s="92">
        <v>2</v>
      </c>
      <c r="C64" s="100">
        <v>1</v>
      </c>
      <c r="D64" s="100" t="s">
        <v>46</v>
      </c>
      <c r="E64" s="112" t="s">
        <v>55</v>
      </c>
      <c r="F64" s="92" t="s">
        <v>204</v>
      </c>
      <c r="G64" s="144">
        <f>VLOOKUP(F64,Volumenes!$D$20:$G$184,4,FALSE)</f>
        <v>4</v>
      </c>
      <c r="H64" s="155">
        <f>+Tiempos!E88</f>
        <v>40</v>
      </c>
      <c r="I64" s="103">
        <f>+(H64/Tiempos!B28/60)</f>
        <v>0.45289855072463769</v>
      </c>
      <c r="J64" s="111">
        <f>+I64*(1+Tiempos!$C$17)</f>
        <v>0.47667572463768115</v>
      </c>
      <c r="K64" s="146">
        <f t="shared" si="1"/>
        <v>1.9067028985507246</v>
      </c>
      <c r="L64" s="103">
        <f>+K64/Tiempos!$B$11</f>
        <v>4.1450063011972274E-3</v>
      </c>
      <c r="M64" s="262"/>
      <c r="N64" s="237"/>
      <c r="O64" s="237"/>
      <c r="P64" s="237"/>
      <c r="Q64" s="237"/>
    </row>
    <row r="65" spans="1:17" x14ac:dyDescent="0.35">
      <c r="A65" s="81"/>
      <c r="B65" s="81">
        <v>2</v>
      </c>
      <c r="C65" s="83">
        <v>1</v>
      </c>
      <c r="D65" s="83" t="s">
        <v>46</v>
      </c>
      <c r="E65" s="113" t="s">
        <v>237</v>
      </c>
      <c r="F65" s="81" t="s">
        <v>204</v>
      </c>
      <c r="G65" s="180">
        <f>VLOOKUP(F65,Volumenes!$D$20:$G$184,4,FALSE)</f>
        <v>4</v>
      </c>
      <c r="H65" s="97"/>
      <c r="I65" s="98">
        <f>60/60</f>
        <v>1</v>
      </c>
      <c r="J65" s="110">
        <f>+I65*(1+Tiempos!$C$17)</f>
        <v>1.0525</v>
      </c>
      <c r="K65" s="123">
        <f t="shared" si="1"/>
        <v>4.21</v>
      </c>
      <c r="L65" s="98">
        <f>+K65/Tiempos!$B$11</f>
        <v>9.1521739130434789E-3</v>
      </c>
      <c r="M65" s="261"/>
      <c r="N65" s="236"/>
      <c r="O65" s="236"/>
      <c r="P65" s="236"/>
      <c r="Q65" s="236"/>
    </row>
    <row r="66" spans="1:17" x14ac:dyDescent="0.35">
      <c r="A66" s="81"/>
      <c r="B66" s="81">
        <v>2</v>
      </c>
      <c r="C66" s="83">
        <v>1</v>
      </c>
      <c r="D66" s="83" t="s">
        <v>46</v>
      </c>
      <c r="E66" s="113" t="s">
        <v>56</v>
      </c>
      <c r="F66" s="81" t="s">
        <v>204</v>
      </c>
      <c r="G66" s="180">
        <f>VLOOKUP(F66,Volumenes!$D$20:$G$184,4,FALSE)</f>
        <v>4</v>
      </c>
      <c r="H66" s="97"/>
      <c r="I66" s="98">
        <f>120/60</f>
        <v>2</v>
      </c>
      <c r="J66" s="110">
        <f>+I66*(1+Tiempos!$C$17)</f>
        <v>2.105</v>
      </c>
      <c r="K66" s="123">
        <f t="shared" si="1"/>
        <v>8.42</v>
      </c>
      <c r="L66" s="98">
        <f>+K66/Tiempos!$B$11</f>
        <v>1.8304347826086958E-2</v>
      </c>
      <c r="M66" s="261"/>
      <c r="N66" s="236"/>
      <c r="O66" s="236"/>
      <c r="P66" s="236"/>
      <c r="Q66" s="236"/>
    </row>
    <row r="67" spans="1:17" x14ac:dyDescent="0.35">
      <c r="A67" s="92"/>
      <c r="B67" s="92">
        <v>2</v>
      </c>
      <c r="C67" s="100">
        <v>1</v>
      </c>
      <c r="D67" s="100" t="s">
        <v>46</v>
      </c>
      <c r="E67" s="112" t="s">
        <v>57</v>
      </c>
      <c r="F67" s="92" t="s">
        <v>204</v>
      </c>
      <c r="G67" s="144">
        <f>VLOOKUP(F67,Volumenes!$D$20:$G$184,4,FALSE)</f>
        <v>4</v>
      </c>
      <c r="H67" s="155">
        <f>+H64</f>
        <v>40</v>
      </c>
      <c r="I67" s="103">
        <f>+(H67/Tiempos!$B$28/60)</f>
        <v>0.45289855072463769</v>
      </c>
      <c r="J67" s="111">
        <f>+I67*(1+Tiempos!$C$17)</f>
        <v>0.47667572463768115</v>
      </c>
      <c r="K67" s="146">
        <f t="shared" si="1"/>
        <v>1.9067028985507246</v>
      </c>
      <c r="L67" s="103">
        <f>+K67/Tiempos!$B$11</f>
        <v>4.1450063011972274E-3</v>
      </c>
      <c r="M67" s="262"/>
      <c r="N67" s="237"/>
      <c r="O67" s="237"/>
      <c r="P67" s="237"/>
      <c r="Q67" s="237"/>
    </row>
    <row r="68" spans="1:17" x14ac:dyDescent="0.35">
      <c r="A68" s="81"/>
      <c r="B68" s="81">
        <v>2</v>
      </c>
      <c r="C68" s="83">
        <v>1</v>
      </c>
      <c r="D68" s="83" t="s">
        <v>46</v>
      </c>
      <c r="E68" s="113" t="s">
        <v>240</v>
      </c>
      <c r="F68" s="81" t="s">
        <v>265</v>
      </c>
      <c r="G68" s="143">
        <f>VLOOKUP(F68,Volumenes!$D$20:$G$184,4,FALSE)</f>
        <v>68.501741736524366</v>
      </c>
      <c r="H68" s="97"/>
      <c r="I68" s="98">
        <f>5/60</f>
        <v>8.3333333333333329E-2</v>
      </c>
      <c r="J68" s="110">
        <f>+I68*(1+Tiempos!$C$17)</f>
        <v>8.7708333333333333E-2</v>
      </c>
      <c r="K68" s="123">
        <f t="shared" si="1"/>
        <v>6.0081735981409912</v>
      </c>
      <c r="L68" s="98">
        <f>+K68/Tiempos!$B$11</f>
        <v>1.3061246952480416E-2</v>
      </c>
      <c r="M68" s="261"/>
      <c r="N68" s="236"/>
      <c r="O68" s="236"/>
      <c r="P68" s="236"/>
      <c r="Q68" s="236"/>
    </row>
    <row r="69" spans="1:17" x14ac:dyDescent="0.35">
      <c r="A69" s="92"/>
      <c r="B69" s="92">
        <v>2</v>
      </c>
      <c r="C69" s="100">
        <v>1</v>
      </c>
      <c r="D69" s="100" t="s">
        <v>327</v>
      </c>
      <c r="E69" s="112" t="s">
        <v>58</v>
      </c>
      <c r="F69" s="92" t="s">
        <v>204</v>
      </c>
      <c r="G69" s="144">
        <f>VLOOKUP(F69,Volumenes!$D$20:$G$184,4,FALSE)</f>
        <v>4</v>
      </c>
      <c r="H69" s="102">
        <f>+H58</f>
        <v>20</v>
      </c>
      <c r="I69" s="103">
        <f>+(H69/Tiempos!$B$28/60)</f>
        <v>0.22644927536231885</v>
      </c>
      <c r="J69" s="111">
        <f>+I69*(1+Tiempos!$C$17)</f>
        <v>0.23833786231884058</v>
      </c>
      <c r="K69" s="146">
        <f t="shared" si="1"/>
        <v>0.95335144927536231</v>
      </c>
      <c r="L69" s="103">
        <f>+K69/Tiempos!$B$11</f>
        <v>2.0725031505986137E-3</v>
      </c>
      <c r="M69" s="262"/>
      <c r="N69" s="237"/>
      <c r="O69" s="237"/>
      <c r="P69" s="237"/>
      <c r="Q69" s="237"/>
    </row>
    <row r="70" spans="1:17" x14ac:dyDescent="0.35">
      <c r="A70" s="92"/>
      <c r="B70" s="92">
        <v>2</v>
      </c>
      <c r="C70" s="100">
        <v>1</v>
      </c>
      <c r="D70" s="100" t="s">
        <v>327</v>
      </c>
      <c r="E70" s="112" t="s">
        <v>247</v>
      </c>
      <c r="F70" s="92" t="s">
        <v>265</v>
      </c>
      <c r="G70" s="144">
        <f>VLOOKUP(F70,Volumenes!$D$20:$G$184,4,FALSE)</f>
        <v>68.501741736524366</v>
      </c>
      <c r="H70" s="102">
        <v>10</v>
      </c>
      <c r="I70" s="103">
        <f>+(H70/Tiempos!$B$28/60)</f>
        <v>0.11322463768115942</v>
      </c>
      <c r="J70" s="111">
        <f>+I70*(1+Tiempos!$C$17)</f>
        <v>0.11916893115942029</v>
      </c>
      <c r="K70" s="146">
        <f t="shared" si="1"/>
        <v>8.1632793453002606</v>
      </c>
      <c r="L70" s="103">
        <f>+K70/Tiempos!$B$11</f>
        <v>1.7746259446304914E-2</v>
      </c>
      <c r="M70" s="262">
        <f>+K70/Tiempos!$B$12</f>
        <v>8.8731297231524568E-3</v>
      </c>
      <c r="N70" s="237"/>
      <c r="O70" s="237"/>
      <c r="P70" s="237"/>
      <c r="Q70" s="237"/>
    </row>
    <row r="71" spans="1:17" x14ac:dyDescent="0.35">
      <c r="A71" s="81"/>
      <c r="B71" s="81">
        <v>2</v>
      </c>
      <c r="C71" s="83">
        <v>1</v>
      </c>
      <c r="D71" s="83" t="s">
        <v>327</v>
      </c>
      <c r="E71" s="113" t="s">
        <v>262</v>
      </c>
      <c r="F71" s="81" t="s">
        <v>265</v>
      </c>
      <c r="G71" s="143">
        <f>VLOOKUP(F71,Volumenes!$D$20:$G$184,4,FALSE)</f>
        <v>68.501741736524366</v>
      </c>
      <c r="H71" s="97"/>
      <c r="I71" s="98">
        <f>15/60</f>
        <v>0.25</v>
      </c>
      <c r="J71" s="110">
        <f>+I71*(1+Tiempos!$C$17)</f>
        <v>0.263125</v>
      </c>
      <c r="K71" s="123">
        <f>+J71*G71</f>
        <v>18.024520794422973</v>
      </c>
      <c r="L71" s="98">
        <f>+K71/Tiempos!$B$11</f>
        <v>3.9183740857441245E-2</v>
      </c>
      <c r="M71" s="261">
        <f>+K71/Tiempos!$B$12</f>
        <v>1.9591870428720622E-2</v>
      </c>
      <c r="N71" s="233"/>
      <c r="O71" s="233"/>
      <c r="P71" s="233"/>
      <c r="Q71" s="233"/>
    </row>
    <row r="72" spans="1:17" x14ac:dyDescent="0.35">
      <c r="A72" s="92"/>
      <c r="B72" s="92">
        <v>2</v>
      </c>
      <c r="C72" s="100">
        <v>1</v>
      </c>
      <c r="D72" s="100" t="s">
        <v>327</v>
      </c>
      <c r="E72" s="178" t="s">
        <v>59</v>
      </c>
      <c r="F72" s="92" t="s">
        <v>204</v>
      </c>
      <c r="G72" s="144">
        <f>VLOOKUP(F72,Volumenes!$D$20:$G$184,4,FALSE)</f>
        <v>4</v>
      </c>
      <c r="H72" s="155">
        <f>+Tiempos!E88</f>
        <v>40</v>
      </c>
      <c r="I72" s="103">
        <f>+(H72/Tiempos!$B$28/60)</f>
        <v>0.45289855072463769</v>
      </c>
      <c r="J72" s="111">
        <f>+I72*(1+Tiempos!$C$17)</f>
        <v>0.47667572463768115</v>
      </c>
      <c r="K72" s="146">
        <f t="shared" si="1"/>
        <v>1.9067028985507246</v>
      </c>
      <c r="L72" s="103">
        <f>+K72/Tiempos!$B$11</f>
        <v>4.1450063011972274E-3</v>
      </c>
      <c r="M72" s="262">
        <f>+K72/Tiempos!$B$12</f>
        <v>2.0725031505986137E-3</v>
      </c>
      <c r="N72" s="234"/>
      <c r="O72" s="234"/>
      <c r="P72" s="234"/>
      <c r="Q72" s="234"/>
    </row>
    <row r="73" spans="1:17" x14ac:dyDescent="0.35">
      <c r="A73" s="75"/>
      <c r="B73" s="75"/>
      <c r="E73" s="120"/>
      <c r="F73" s="75"/>
      <c r="G73" s="152"/>
      <c r="H73" s="177"/>
      <c r="I73" s="109"/>
      <c r="J73" s="107"/>
      <c r="K73" s="162"/>
      <c r="L73" s="98">
        <f>SUM(L51:L72)</f>
        <v>0.18278349732085425</v>
      </c>
      <c r="M73" s="98">
        <f>SUM(M51:M72)</f>
        <v>4.8343617782404695E-2</v>
      </c>
      <c r="N73" s="45"/>
      <c r="O73" s="45"/>
      <c r="P73" s="45"/>
      <c r="Q73" s="45"/>
    </row>
    <row r="75" spans="1:17" ht="13.15" x14ac:dyDescent="0.4">
      <c r="A75" s="296" t="s">
        <v>961</v>
      </c>
      <c r="B75" s="179"/>
      <c r="E75" s="120"/>
      <c r="F75" s="75"/>
      <c r="G75" s="152"/>
      <c r="H75" s="177"/>
      <c r="I75" s="109"/>
      <c r="J75" s="107"/>
      <c r="K75" s="162"/>
      <c r="L75" s="109"/>
      <c r="M75" s="45"/>
      <c r="N75" s="45"/>
      <c r="O75" s="45"/>
      <c r="P75" s="45"/>
      <c r="Q75" s="45"/>
    </row>
    <row r="76" spans="1:17" s="70" customFormat="1" x14ac:dyDescent="0.35">
      <c r="A76" s="81"/>
      <c r="B76" s="81">
        <v>2</v>
      </c>
      <c r="C76" s="83">
        <v>1</v>
      </c>
      <c r="D76" s="83" t="s">
        <v>46</v>
      </c>
      <c r="E76" s="113" t="s">
        <v>963</v>
      </c>
      <c r="F76" s="478" t="str">
        <f>+Volumenes!D226</f>
        <v>KAT_CAM</v>
      </c>
      <c r="G76" s="180">
        <f>VLOOKUP(F76,Volumenes!$D$19:$G$346,4,FALSE)</f>
        <v>1</v>
      </c>
      <c r="H76" s="97"/>
      <c r="I76" s="123">
        <f>30/60</f>
        <v>0.5</v>
      </c>
      <c r="J76" s="110">
        <f>+I76*(1+Tiempos!$C$17)</f>
        <v>0.52625</v>
      </c>
      <c r="K76" s="123">
        <f>+J76*G76</f>
        <v>0.52625</v>
      </c>
      <c r="L76" s="98">
        <f>+K76/Tiempos!$B$11</f>
        <v>1.1440217391304349E-3</v>
      </c>
      <c r="M76" s="261">
        <f>+L76/Tiempos!$B$12</f>
        <v>1.2435018903591683E-6</v>
      </c>
      <c r="N76" s="233"/>
      <c r="O76" s="233"/>
      <c r="P76" s="233"/>
      <c r="Q76" s="233"/>
    </row>
    <row r="77" spans="1:17" s="70" customFormat="1" x14ac:dyDescent="0.35">
      <c r="A77" s="81"/>
      <c r="B77" s="81">
        <v>2</v>
      </c>
      <c r="C77" s="83">
        <v>1</v>
      </c>
      <c r="D77" s="83" t="s">
        <v>46</v>
      </c>
      <c r="E77" s="113" t="s">
        <v>978</v>
      </c>
      <c r="F77" s="478" t="str">
        <f>+Volumenes!D226</f>
        <v>KAT_CAM</v>
      </c>
      <c r="G77" s="180">
        <f>VLOOKUP(F77,Volumenes!$D$19:$G$346,4,FALSE)</f>
        <v>1</v>
      </c>
      <c r="H77" s="97"/>
      <c r="I77" s="123">
        <v>10</v>
      </c>
      <c r="J77" s="110">
        <f>+I77*(1+Tiempos!$C$17)</f>
        <v>10.525</v>
      </c>
      <c r="K77" s="123">
        <f>+J77*G77</f>
        <v>10.525</v>
      </c>
      <c r="L77" s="98">
        <f>+K77/Tiempos!$B$11</f>
        <v>2.2880434782608695E-2</v>
      </c>
      <c r="M77" s="261">
        <f>+L77/Tiempos!$B$12</f>
        <v>2.4870037807183363E-5</v>
      </c>
      <c r="N77" s="233"/>
      <c r="O77" s="233"/>
      <c r="P77" s="233"/>
      <c r="Q77" s="233"/>
    </row>
    <row r="78" spans="1:17" s="70" customFormat="1" x14ac:dyDescent="0.35">
      <c r="A78" s="92"/>
      <c r="B78" s="92">
        <v>2</v>
      </c>
      <c r="C78" s="100">
        <v>1</v>
      </c>
      <c r="D78" s="100" t="s">
        <v>46</v>
      </c>
      <c r="E78" s="112" t="s">
        <v>973</v>
      </c>
      <c r="F78" s="477" t="str">
        <f>+F77</f>
        <v>KAT_CAM</v>
      </c>
      <c r="G78" s="155">
        <f>VLOOKUP(F78,Volumenes!$D$19:$G$346,4,FALSE)</f>
        <v>1</v>
      </c>
      <c r="H78" s="155">
        <v>10</v>
      </c>
      <c r="I78" s="103">
        <f>(H78/Tiempos!$B$29)/60</f>
        <v>8.5470085470085472E-2</v>
      </c>
      <c r="J78" s="111">
        <f>+I78*(1+Tiempos!$C$17)</f>
        <v>8.9957264957264957E-2</v>
      </c>
      <c r="K78" s="146">
        <f>+J78*G78</f>
        <v>8.9957264957264957E-2</v>
      </c>
      <c r="L78" s="103">
        <f>+K78/Tiempos!$B$11</f>
        <v>1.9555927164622818E-4</v>
      </c>
      <c r="M78" s="262">
        <f>+L78/Tiempos!$B$12</f>
        <v>2.1256442570242193E-7</v>
      </c>
      <c r="N78" s="234"/>
      <c r="O78" s="234"/>
      <c r="P78" s="234"/>
      <c r="Q78" s="234"/>
    </row>
    <row r="79" spans="1:17" s="70" customFormat="1" x14ac:dyDescent="0.35">
      <c r="A79" s="81"/>
      <c r="B79" s="81">
        <v>2</v>
      </c>
      <c r="C79" s="83">
        <v>1</v>
      </c>
      <c r="D79" s="83" t="s">
        <v>327</v>
      </c>
      <c r="E79" s="113" t="s">
        <v>182</v>
      </c>
      <c r="F79" s="478" t="str">
        <f>+F78</f>
        <v>KAT_CAM</v>
      </c>
      <c r="G79" s="180">
        <f>VLOOKUP(F79,Volumenes!$D$19:$G$346,4,FALSE)</f>
        <v>1</v>
      </c>
      <c r="H79" s="97"/>
      <c r="I79" s="98">
        <f>25/60</f>
        <v>0.41666666666666669</v>
      </c>
      <c r="J79" s="110">
        <f>+I79*(1+Tiempos!$C$17)</f>
        <v>0.43854166666666666</v>
      </c>
      <c r="K79" s="123">
        <f t="shared" ref="K79:K84" si="2">+J79*G79</f>
        <v>0.43854166666666666</v>
      </c>
      <c r="L79" s="98">
        <f>+K79/Tiempos!$B$11</f>
        <v>9.5335144927536232E-4</v>
      </c>
      <c r="M79" s="261">
        <f>+L79/Tiempos!$B$12</f>
        <v>1.0362515752993068E-6</v>
      </c>
      <c r="N79" s="236"/>
      <c r="O79" s="236"/>
      <c r="P79" s="236"/>
      <c r="Q79" s="236"/>
    </row>
    <row r="80" spans="1:17" s="70" customFormat="1" x14ac:dyDescent="0.35">
      <c r="A80" s="92"/>
      <c r="B80" s="92">
        <v>2</v>
      </c>
      <c r="C80" s="100">
        <v>1</v>
      </c>
      <c r="D80" s="100" t="s">
        <v>327</v>
      </c>
      <c r="E80" s="112" t="s">
        <v>979</v>
      </c>
      <c r="F80" s="477" t="str">
        <f>+Volumenes!D225</f>
        <v>KAT_PUER</v>
      </c>
      <c r="G80" s="155">
        <f>VLOOKUP(F80,Volumenes!$D$19:$G$346,4,FALSE)</f>
        <v>4</v>
      </c>
      <c r="H80" s="155">
        <v>30</v>
      </c>
      <c r="I80" s="103">
        <f>(H80/Tiempos!$B$29)/60</f>
        <v>0.25641025641025644</v>
      </c>
      <c r="J80" s="111">
        <f>+I80*(1+Tiempos!$C$17)</f>
        <v>0.26987179487179491</v>
      </c>
      <c r="K80" s="146">
        <f t="shared" si="2"/>
        <v>1.0794871794871796</v>
      </c>
      <c r="L80" s="103">
        <f>+K80/Tiempos!$B$11</f>
        <v>2.3467112597547386E-3</v>
      </c>
      <c r="M80" s="262">
        <f>+L80/Tiempos!$B$12</f>
        <v>2.5507731084290638E-6</v>
      </c>
      <c r="N80" s="237"/>
      <c r="O80" s="237"/>
      <c r="P80" s="237"/>
      <c r="Q80" s="237"/>
    </row>
    <row r="81" spans="1:17" s="70" customFormat="1" x14ac:dyDescent="0.35">
      <c r="A81" s="81"/>
      <c r="B81" s="81">
        <v>2</v>
      </c>
      <c r="C81" s="83">
        <v>1</v>
      </c>
      <c r="D81" s="83" t="s">
        <v>327</v>
      </c>
      <c r="E81" s="113" t="s">
        <v>980</v>
      </c>
      <c r="F81" s="478" t="str">
        <f>+F80</f>
        <v>KAT_PUER</v>
      </c>
      <c r="G81" s="180">
        <f>VLOOKUP(F81,Volumenes!$D$19:$G$346,4,FALSE)</f>
        <v>4</v>
      </c>
      <c r="H81" s="97"/>
      <c r="I81" s="98">
        <f>15/60</f>
        <v>0.25</v>
      </c>
      <c r="J81" s="110">
        <f>+I81*(1+Tiempos!$C$17)</f>
        <v>0.263125</v>
      </c>
      <c r="K81" s="123">
        <f t="shared" si="2"/>
        <v>1.0525</v>
      </c>
      <c r="L81" s="98">
        <f>+K81/Tiempos!$B$11</f>
        <v>2.2880434782608697E-3</v>
      </c>
      <c r="M81" s="261">
        <f>+L81/Tiempos!$B$12</f>
        <v>2.4870037807183367E-6</v>
      </c>
      <c r="N81" s="236"/>
      <c r="O81" s="236"/>
      <c r="P81" s="236"/>
      <c r="Q81" s="236"/>
    </row>
    <row r="82" spans="1:17" s="70" customFormat="1" x14ac:dyDescent="0.35">
      <c r="A82" s="92"/>
      <c r="B82" s="92">
        <v>2</v>
      </c>
      <c r="C82" s="100">
        <v>1</v>
      </c>
      <c r="D82" s="100" t="s">
        <v>46</v>
      </c>
      <c r="E82" s="112" t="s">
        <v>975</v>
      </c>
      <c r="F82" s="477" t="str">
        <f>+F81</f>
        <v>KAT_PUER</v>
      </c>
      <c r="G82" s="155">
        <f>VLOOKUP(F82,Volumenes!$D$19:$G$346,4,FALSE)</f>
        <v>4</v>
      </c>
      <c r="H82" s="155">
        <v>80</v>
      </c>
      <c r="I82" s="103">
        <f>(H82/Tiempos!$B$29)/60</f>
        <v>0.68376068376068377</v>
      </c>
      <c r="J82" s="111">
        <f>+I82*(1+Tiempos!$C$17)</f>
        <v>0.71965811965811965</v>
      </c>
      <c r="K82" s="146">
        <f t="shared" si="2"/>
        <v>2.8786324786324786</v>
      </c>
      <c r="L82" s="103">
        <f>+K82/Tiempos!$B$11</f>
        <v>6.2578966926793017E-3</v>
      </c>
      <c r="M82" s="262">
        <f>+L82/Tiempos!$B$12</f>
        <v>6.8020616224775017E-6</v>
      </c>
      <c r="N82" s="237"/>
      <c r="O82" s="237"/>
      <c r="P82" s="237"/>
      <c r="Q82" s="237"/>
    </row>
    <row r="83" spans="1:17" s="70" customFormat="1" x14ac:dyDescent="0.35">
      <c r="A83" s="81"/>
      <c r="B83" s="81">
        <v>2</v>
      </c>
      <c r="C83" s="83">
        <v>1</v>
      </c>
      <c r="D83" s="83" t="s">
        <v>46</v>
      </c>
      <c r="E83" s="113" t="s">
        <v>981</v>
      </c>
      <c r="F83" s="391" t="str">
        <f>+F82</f>
        <v>KAT_PUER</v>
      </c>
      <c r="G83" s="180">
        <f>VLOOKUP(F83,Volumenes!$D$19:$G$346,4,FALSE)</f>
        <v>4</v>
      </c>
      <c r="H83" s="97"/>
      <c r="I83" s="98">
        <f>25/60</f>
        <v>0.41666666666666669</v>
      </c>
      <c r="J83" s="110">
        <f>+I83*(1+Tiempos!$C$17)</f>
        <v>0.43854166666666666</v>
      </c>
      <c r="K83" s="123">
        <f t="shared" si="2"/>
        <v>1.7541666666666667</v>
      </c>
      <c r="L83" s="98">
        <f>+K83/Tiempos!$B$11</f>
        <v>3.8134057971014493E-3</v>
      </c>
      <c r="M83" s="261">
        <f>+L83/Tiempos!$B$12</f>
        <v>4.1450063011972274E-6</v>
      </c>
      <c r="N83" s="236"/>
      <c r="O83" s="236"/>
      <c r="P83" s="236"/>
      <c r="Q83" s="236"/>
    </row>
    <row r="84" spans="1:17" s="70" customFormat="1" x14ac:dyDescent="0.35">
      <c r="A84" s="81"/>
      <c r="B84" s="81">
        <v>2</v>
      </c>
      <c r="C84" s="83">
        <v>1</v>
      </c>
      <c r="D84" s="83" t="s">
        <v>46</v>
      </c>
      <c r="E84" s="113" t="s">
        <v>982</v>
      </c>
      <c r="F84" s="391" t="str">
        <f>+F79</f>
        <v>KAT_CAM</v>
      </c>
      <c r="G84" s="180">
        <f>VLOOKUP(F84,Volumenes!$D$19:$G$346,4,FALSE)</f>
        <v>1</v>
      </c>
      <c r="H84" s="97"/>
      <c r="I84" s="98">
        <f>10/60</f>
        <v>0.16666666666666666</v>
      </c>
      <c r="J84" s="110">
        <f>+I84*(1+Tiempos!$C$17)</f>
        <v>0.17541666666666667</v>
      </c>
      <c r="K84" s="123">
        <f t="shared" si="2"/>
        <v>0.17541666666666667</v>
      </c>
      <c r="L84" s="98">
        <f>+K84/Tiempos!$B$11</f>
        <v>3.8134057971014494E-4</v>
      </c>
      <c r="M84" s="261">
        <f>+L84/Tiempos!$B$12</f>
        <v>4.1450063011972278E-7</v>
      </c>
      <c r="N84" s="236"/>
      <c r="O84" s="236"/>
      <c r="P84" s="236"/>
      <c r="Q84" s="236"/>
    </row>
    <row r="85" spans="1:17" x14ac:dyDescent="0.35">
      <c r="A85" s="75"/>
      <c r="B85" s="75"/>
      <c r="E85" s="120"/>
      <c r="F85" s="75"/>
      <c r="G85" s="152"/>
      <c r="H85" s="177"/>
      <c r="I85" s="109"/>
      <c r="J85" s="107"/>
      <c r="K85" s="162"/>
      <c r="L85" s="98">
        <f>SUM(L76:L84)</f>
        <v>4.0260765050167215E-2</v>
      </c>
      <c r="M85" s="98">
        <f>SUM(M76:M84)</f>
        <v>4.3761701141486114E-5</v>
      </c>
      <c r="N85" s="233"/>
      <c r="O85" s="233"/>
      <c r="P85" s="233"/>
      <c r="Q85" s="233"/>
    </row>
    <row r="87" spans="1:17" ht="13.15" x14ac:dyDescent="0.4">
      <c r="A87" s="296" t="s">
        <v>1068</v>
      </c>
      <c r="B87" s="179"/>
      <c r="E87" s="120"/>
      <c r="F87" s="75"/>
      <c r="G87" s="152"/>
      <c r="H87" s="177"/>
      <c r="I87" s="109"/>
      <c r="J87" s="107"/>
      <c r="K87" s="162"/>
      <c r="L87" s="109"/>
      <c r="M87" s="45"/>
      <c r="N87" s="45"/>
      <c r="O87" s="45"/>
      <c r="P87" s="45"/>
      <c r="Q87" s="45"/>
    </row>
    <row r="88" spans="1:17" s="70" customFormat="1" x14ac:dyDescent="0.35">
      <c r="A88" s="81"/>
      <c r="B88" s="81">
        <v>2</v>
      </c>
      <c r="C88" s="83">
        <v>1</v>
      </c>
      <c r="D88" s="83" t="s">
        <v>46</v>
      </c>
      <c r="E88" s="113" t="s">
        <v>963</v>
      </c>
      <c r="F88" s="478" t="str">
        <f>+Volumenes!D211</f>
        <v>ENV_BUL_SAT</v>
      </c>
      <c r="G88" s="143">
        <f>VLOOKUP(F88,Volumenes!$D$20:$G$272,4,FALSE)</f>
        <v>2</v>
      </c>
      <c r="H88" s="97"/>
      <c r="I88" s="123">
        <f>30/60</f>
        <v>0.5</v>
      </c>
      <c r="J88" s="110">
        <f>+I88*(1+Tiempos!$C$17)</f>
        <v>0.52625</v>
      </c>
      <c r="K88" s="123">
        <f>+J88*G88</f>
        <v>1.0525</v>
      </c>
      <c r="L88" s="98">
        <f>+K88/Tiempos!$B$11</f>
        <v>2.2880434782608697E-3</v>
      </c>
      <c r="M88" s="261">
        <f>+K88/Tiempos!$B$12</f>
        <v>1.1440217391304349E-3</v>
      </c>
      <c r="N88" s="233"/>
      <c r="O88" s="233"/>
      <c r="P88" s="233"/>
      <c r="Q88" s="233"/>
    </row>
    <row r="89" spans="1:17" s="70" customFormat="1" x14ac:dyDescent="0.35">
      <c r="A89" s="81"/>
      <c r="B89" s="81">
        <v>2</v>
      </c>
      <c r="C89" s="83">
        <v>1</v>
      </c>
      <c r="D89" s="83" t="s">
        <v>327</v>
      </c>
      <c r="E89" s="113" t="s">
        <v>987</v>
      </c>
      <c r="F89" s="83" t="str">
        <f>+F88</f>
        <v>ENV_BUL_SAT</v>
      </c>
      <c r="G89" s="143">
        <f>VLOOKUP(F89,Volumenes!$D$20:$G$272,4,FALSE)</f>
        <v>2</v>
      </c>
      <c r="H89" s="97"/>
      <c r="I89" s="123">
        <v>4</v>
      </c>
      <c r="J89" s="110">
        <f>+I89*(1+Tiempos!$C$17)</f>
        <v>4.21</v>
      </c>
      <c r="K89" s="123">
        <f>+J89*G89</f>
        <v>8.42</v>
      </c>
      <c r="L89" s="98">
        <f>+K89/Tiempos!$B$11</f>
        <v>1.8304347826086958E-2</v>
      </c>
      <c r="M89" s="261">
        <f>+K89/Tiempos!$B$12</f>
        <v>9.1521739130434789E-3</v>
      </c>
      <c r="N89" s="233"/>
      <c r="O89" s="233"/>
      <c r="P89" s="233"/>
      <c r="Q89" s="233"/>
    </row>
    <row r="90" spans="1:17" s="70" customFormat="1" x14ac:dyDescent="0.35">
      <c r="A90" s="92"/>
      <c r="B90" s="92">
        <v>2</v>
      </c>
      <c r="C90" s="100">
        <v>1</v>
      </c>
      <c r="D90" s="100" t="s">
        <v>46</v>
      </c>
      <c r="E90" s="112" t="s">
        <v>973</v>
      </c>
      <c r="F90" s="100" t="str">
        <f>+F89</f>
        <v>ENV_BUL_SAT</v>
      </c>
      <c r="G90" s="144">
        <f>VLOOKUP(F90,Volumenes!$D$20:$G$272,4,FALSE)</f>
        <v>2</v>
      </c>
      <c r="H90" s="155">
        <v>10</v>
      </c>
      <c r="I90" s="103">
        <f>(H90/Tiempos!$B$29)/60</f>
        <v>8.5470085470085472E-2</v>
      </c>
      <c r="J90" s="111">
        <f>+I90*(1+Tiempos!$C$17)</f>
        <v>8.9957264957264957E-2</v>
      </c>
      <c r="K90" s="146">
        <f>+J90*G90</f>
        <v>0.17991452991452991</v>
      </c>
      <c r="L90" s="103">
        <f>+K90/Tiempos!$B$11</f>
        <v>3.9111854329245636E-4</v>
      </c>
      <c r="M90" s="262">
        <f>+K90/Tiempos!$B$12</f>
        <v>1.9555927164622818E-4</v>
      </c>
      <c r="N90" s="234"/>
      <c r="O90" s="234"/>
      <c r="P90" s="234"/>
      <c r="Q90" s="234"/>
    </row>
    <row r="91" spans="1:17" s="70" customFormat="1" x14ac:dyDescent="0.35">
      <c r="A91" s="81"/>
      <c r="B91" s="81">
        <v>2</v>
      </c>
      <c r="C91" s="83">
        <v>1</v>
      </c>
      <c r="D91" s="83" t="s">
        <v>327</v>
      </c>
      <c r="E91" s="113" t="s">
        <v>182</v>
      </c>
      <c r="F91" s="83" t="str">
        <f>+F90</f>
        <v>ENV_BUL_SAT</v>
      </c>
      <c r="G91" s="143">
        <f>VLOOKUP(F91,Volumenes!$D$20:$G$272,4,FALSE)</f>
        <v>2</v>
      </c>
      <c r="H91" s="97"/>
      <c r="I91" s="98">
        <f>10/60</f>
        <v>0.16666666666666666</v>
      </c>
      <c r="J91" s="110">
        <f>+I91*(1+Tiempos!$C$17)</f>
        <v>0.17541666666666667</v>
      </c>
      <c r="K91" s="123">
        <f t="shared" ref="K91:K92" si="3">+J91*G91</f>
        <v>0.35083333333333333</v>
      </c>
      <c r="L91" s="98">
        <f>+K91/Tiempos!$B$11</f>
        <v>7.6268115942028987E-4</v>
      </c>
      <c r="M91" s="261">
        <f>+K91/Tiempos!$B$12</f>
        <v>3.8134057971014494E-4</v>
      </c>
      <c r="N91" s="236"/>
      <c r="O91" s="236"/>
      <c r="P91" s="236"/>
      <c r="Q91" s="236"/>
    </row>
    <row r="92" spans="1:17" s="70" customFormat="1" x14ac:dyDescent="0.35">
      <c r="A92" s="81"/>
      <c r="B92" s="81">
        <v>2</v>
      </c>
      <c r="C92" s="83">
        <v>1</v>
      </c>
      <c r="D92" s="83" t="s">
        <v>327</v>
      </c>
      <c r="E92" s="113" t="s">
        <v>974</v>
      </c>
      <c r="F92" s="478" t="str">
        <f>+Volumenes!D210</f>
        <v>BUL_SAT</v>
      </c>
      <c r="G92" s="143">
        <f>VLOOKUP(F92,Volumenes!$D$20:$G$272,4,FALSE)</f>
        <v>8</v>
      </c>
      <c r="H92" s="97"/>
      <c r="I92" s="98">
        <f>15/60</f>
        <v>0.25</v>
      </c>
      <c r="J92" s="110">
        <f>+I92*(1+Tiempos!$C$17)</f>
        <v>0.263125</v>
      </c>
      <c r="K92" s="123">
        <f t="shared" si="3"/>
        <v>2.105</v>
      </c>
      <c r="L92" s="98">
        <f>+K92/Tiempos!$B$11</f>
        <v>4.5760869565217395E-3</v>
      </c>
      <c r="M92" s="261">
        <f>+K92/Tiempos!$B$12</f>
        <v>2.2880434782608697E-3</v>
      </c>
      <c r="N92" s="236"/>
      <c r="O92" s="236"/>
      <c r="P92" s="236"/>
      <c r="Q92" s="236"/>
    </row>
    <row r="93" spans="1:17" s="70" customFormat="1" x14ac:dyDescent="0.35">
      <c r="A93" s="92"/>
      <c r="B93" s="92">
        <v>2</v>
      </c>
      <c r="C93" s="100">
        <v>1</v>
      </c>
      <c r="D93" s="100" t="s">
        <v>46</v>
      </c>
      <c r="E93" s="112" t="s">
        <v>975</v>
      </c>
      <c r="F93" s="100" t="str">
        <f>+F92</f>
        <v>BUL_SAT</v>
      </c>
      <c r="G93" s="144">
        <f>VLOOKUP(F93,Volumenes!$D$20:$G$272,4,FALSE)</f>
        <v>8</v>
      </c>
      <c r="H93" s="155">
        <v>80</v>
      </c>
      <c r="I93" s="103">
        <f>(H93/Tiempos!$B$29)/60</f>
        <v>0.68376068376068377</v>
      </c>
      <c r="J93" s="111">
        <f>+I93*(1+Tiempos!$C$17)</f>
        <v>0.71965811965811965</v>
      </c>
      <c r="K93" s="146">
        <f>+J93*G93</f>
        <v>5.7572649572649572</v>
      </c>
      <c r="L93" s="103">
        <f>+K93/Tiempos!$B$11</f>
        <v>1.2515793385358603E-2</v>
      </c>
      <c r="M93" s="262">
        <f>+K93/Tiempos!$B$12</f>
        <v>6.2578966926793017E-3</v>
      </c>
      <c r="N93" s="237"/>
      <c r="O93" s="237"/>
      <c r="P93" s="237"/>
      <c r="Q93" s="237"/>
    </row>
    <row r="94" spans="1:17" s="70" customFormat="1" x14ac:dyDescent="0.35">
      <c r="A94" s="81"/>
      <c r="B94" s="81">
        <v>2</v>
      </c>
      <c r="C94" s="83">
        <v>1</v>
      </c>
      <c r="D94" s="83" t="s">
        <v>327</v>
      </c>
      <c r="E94" s="113" t="s">
        <v>976</v>
      </c>
      <c r="F94" s="83" t="str">
        <f>+F93</f>
        <v>BUL_SAT</v>
      </c>
      <c r="G94" s="143">
        <f>VLOOKUP(F94,Volumenes!$D$20:$G$272,4,FALSE)</f>
        <v>8</v>
      </c>
      <c r="H94" s="180"/>
      <c r="I94" s="98">
        <f>25/60</f>
        <v>0.41666666666666669</v>
      </c>
      <c r="J94" s="110">
        <f>+I94*(1+Tiempos!$C$17)</f>
        <v>0.43854166666666666</v>
      </c>
      <c r="K94" s="123">
        <f t="shared" ref="K94:K95" si="4">+J94*G94</f>
        <v>3.5083333333333333</v>
      </c>
      <c r="L94" s="98">
        <f>+K94/Tiempos!$B$11</f>
        <v>7.6268115942028985E-3</v>
      </c>
      <c r="M94" s="261">
        <f>+K94/Tiempos!$B$12</f>
        <v>3.8134057971014493E-3</v>
      </c>
      <c r="N94" s="236"/>
      <c r="O94" s="236"/>
      <c r="P94" s="236"/>
      <c r="Q94" s="236"/>
    </row>
    <row r="95" spans="1:17" x14ac:dyDescent="0.35">
      <c r="A95" s="81"/>
      <c r="B95" s="81">
        <v>2</v>
      </c>
      <c r="C95" s="83">
        <v>1</v>
      </c>
      <c r="D95" s="83" t="s">
        <v>46</v>
      </c>
      <c r="E95" s="113" t="s">
        <v>977</v>
      </c>
      <c r="F95" s="81" t="str">
        <f>+F91</f>
        <v>ENV_BUL_SAT</v>
      </c>
      <c r="G95" s="143">
        <f>VLOOKUP(F95,Volumenes!$D$20:$G$272,4,FALSE)</f>
        <v>2</v>
      </c>
      <c r="H95" s="97"/>
      <c r="I95" s="98">
        <f>10/60</f>
        <v>0.16666666666666666</v>
      </c>
      <c r="J95" s="110">
        <f>+I95*(1+Tiempos!$C$17)</f>
        <v>0.17541666666666667</v>
      </c>
      <c r="K95" s="123">
        <f t="shared" si="4"/>
        <v>0.35083333333333333</v>
      </c>
      <c r="L95" s="98">
        <f>+K95/Tiempos!$B$11</f>
        <v>7.6268115942028987E-4</v>
      </c>
      <c r="M95" s="261">
        <f>+K95/Tiempos!$B$12</f>
        <v>3.8134057971014494E-4</v>
      </c>
      <c r="N95" s="236"/>
      <c r="O95" s="236"/>
      <c r="P95" s="236"/>
      <c r="Q95" s="236"/>
    </row>
    <row r="96" spans="1:17" x14ac:dyDescent="0.35">
      <c r="L96" s="311">
        <f>SUM(L88:L95)</f>
        <v>4.722756410256411E-2</v>
      </c>
      <c r="M96" s="311">
        <f>SUM(M88:M95)</f>
        <v>2.3613782051282055E-2</v>
      </c>
      <c r="N96" s="238"/>
      <c r="O96" s="238"/>
      <c r="P96" s="238"/>
      <c r="Q96" s="238"/>
    </row>
    <row r="97" spans="1:17" x14ac:dyDescent="0.35">
      <c r="E97" s="488"/>
    </row>
    <row r="98" spans="1:17" ht="13.15" x14ac:dyDescent="0.4">
      <c r="A98" s="296" t="s">
        <v>962</v>
      </c>
      <c r="B98" s="179"/>
      <c r="E98" s="120"/>
      <c r="F98" s="75"/>
      <c r="G98" s="152"/>
      <c r="H98" s="177"/>
      <c r="I98" s="109"/>
      <c r="J98" s="107"/>
      <c r="K98" s="162"/>
      <c r="L98" s="109"/>
      <c r="M98" s="45"/>
      <c r="N98" s="45"/>
      <c r="O98" s="45"/>
      <c r="P98" s="45"/>
      <c r="Q98" s="45"/>
    </row>
    <row r="99" spans="1:17" s="70" customFormat="1" x14ac:dyDescent="0.35">
      <c r="A99" s="81"/>
      <c r="B99" s="81">
        <v>2</v>
      </c>
      <c r="C99" s="83">
        <v>1</v>
      </c>
      <c r="D99" s="83" t="s">
        <v>46</v>
      </c>
      <c r="E99" s="113" t="s">
        <v>963</v>
      </c>
      <c r="F99" s="83" t="str">
        <f>+Volumenes!D229</f>
        <v>CAJ_DEVU</v>
      </c>
      <c r="G99" s="143">
        <f>VLOOKUP(F99,Volumenes!$D$19:$G$346,4,FALSE)</f>
        <v>6.5</v>
      </c>
      <c r="H99" s="97"/>
      <c r="I99" s="123">
        <f>30/60</f>
        <v>0.5</v>
      </c>
      <c r="J99" s="110">
        <f>+I99*(1+Tiempos!$C$17)</f>
        <v>0.52625</v>
      </c>
      <c r="K99" s="123">
        <f>+J99*G99</f>
        <v>3.4206249999999998</v>
      </c>
      <c r="L99" s="98">
        <f>+K99/Tiempos!$B$11</f>
        <v>7.4361413043478259E-3</v>
      </c>
      <c r="M99" s="261">
        <f>+K99/Tiempos!B12</f>
        <v>3.7180706521739129E-3</v>
      </c>
      <c r="N99" s="233"/>
      <c r="O99" s="233"/>
      <c r="P99" s="233"/>
      <c r="Q99" s="233"/>
    </row>
    <row r="100" spans="1:17" s="70" customFormat="1" x14ac:dyDescent="0.35">
      <c r="A100" s="81"/>
      <c r="B100" s="81">
        <v>2</v>
      </c>
      <c r="C100" s="83">
        <v>1</v>
      </c>
      <c r="D100" s="83" t="s">
        <v>327</v>
      </c>
      <c r="E100" s="113" t="s">
        <v>988</v>
      </c>
      <c r="F100" s="83" t="str">
        <f t="shared" ref="F100:F106" si="5">+F99</f>
        <v>CAJ_DEVU</v>
      </c>
      <c r="G100" s="143">
        <f>VLOOKUP(F100,Volumenes!$D$19:$G$346,4,FALSE)</f>
        <v>6.5</v>
      </c>
      <c r="H100" s="97"/>
      <c r="I100" s="123">
        <v>10</v>
      </c>
      <c r="J100" s="110">
        <f>+I100*(1+Tiempos!$C$17)</f>
        <v>10.525</v>
      </c>
      <c r="K100" s="123">
        <f>+J100*G100</f>
        <v>68.412500000000009</v>
      </c>
      <c r="L100" s="98">
        <f>+K100/Tiempos!$B$11</f>
        <v>0.14872282608695653</v>
      </c>
      <c r="M100" s="261">
        <f>+K100/Tiempos!B12</f>
        <v>7.4361413043478264E-2</v>
      </c>
      <c r="N100" s="233"/>
      <c r="O100" s="233"/>
      <c r="P100" s="233"/>
      <c r="Q100" s="233"/>
    </row>
    <row r="101" spans="1:17" s="70" customFormat="1" x14ac:dyDescent="0.35">
      <c r="A101" s="92"/>
      <c r="B101" s="92">
        <v>2</v>
      </c>
      <c r="C101" s="100">
        <v>1</v>
      </c>
      <c r="D101" s="100" t="s">
        <v>46</v>
      </c>
      <c r="E101" s="112" t="s">
        <v>973</v>
      </c>
      <c r="F101" s="100" t="str">
        <f t="shared" si="5"/>
        <v>CAJ_DEVU</v>
      </c>
      <c r="G101" s="144">
        <f>VLOOKUP(F101,Volumenes!$D$19:$G$346,4,FALSE)</f>
        <v>6.5</v>
      </c>
      <c r="H101" s="155">
        <v>10</v>
      </c>
      <c r="I101" s="103">
        <f>(H101/Tiempos!$B$29)/60</f>
        <v>8.5470085470085472E-2</v>
      </c>
      <c r="J101" s="111">
        <f>+I101*(1+Tiempos!$C$17)</f>
        <v>8.9957264957264957E-2</v>
      </c>
      <c r="K101" s="146">
        <f>+J101*G101</f>
        <v>0.58472222222222225</v>
      </c>
      <c r="L101" s="103">
        <f>+K101/Tiempos!$B$11</f>
        <v>1.2711352657004832E-3</v>
      </c>
      <c r="M101" s="262">
        <f>+K101/Tiempos!$B$12</f>
        <v>6.3556763285024158E-4</v>
      </c>
      <c r="N101" s="234"/>
      <c r="O101" s="234"/>
      <c r="P101" s="234"/>
      <c r="Q101" s="234"/>
    </row>
    <row r="102" spans="1:17" s="70" customFormat="1" x14ac:dyDescent="0.35">
      <c r="A102" s="81"/>
      <c r="B102" s="81">
        <v>2</v>
      </c>
      <c r="C102" s="83">
        <v>1</v>
      </c>
      <c r="D102" s="83" t="s">
        <v>327</v>
      </c>
      <c r="E102" s="113" t="s">
        <v>182</v>
      </c>
      <c r="F102" s="83" t="str">
        <f t="shared" si="5"/>
        <v>CAJ_DEVU</v>
      </c>
      <c r="G102" s="143">
        <f>VLOOKUP(F102,Volumenes!$D$19:$G$346,4,FALSE)</f>
        <v>6.5</v>
      </c>
      <c r="H102" s="97"/>
      <c r="I102" s="98">
        <f>10/60</f>
        <v>0.16666666666666666</v>
      </c>
      <c r="J102" s="110">
        <f>+I102*(1+Tiempos!$C$17)</f>
        <v>0.17541666666666667</v>
      </c>
      <c r="K102" s="123">
        <f t="shared" ref="K102:K103" si="6">+J102*G102</f>
        <v>1.1402083333333333</v>
      </c>
      <c r="L102" s="98">
        <f>+K102/Tiempos!$B$11</f>
        <v>2.478713768115942E-3</v>
      </c>
      <c r="M102" s="261">
        <f>+K102/Tiempos!$B$12</f>
        <v>1.239356884057971E-3</v>
      </c>
      <c r="N102" s="236"/>
      <c r="O102" s="236"/>
      <c r="P102" s="236"/>
      <c r="Q102" s="236"/>
    </row>
    <row r="103" spans="1:17" s="70" customFormat="1" x14ac:dyDescent="0.35">
      <c r="A103" s="81"/>
      <c r="B103" s="81">
        <v>2</v>
      </c>
      <c r="C103" s="83">
        <v>1</v>
      </c>
      <c r="D103" s="83" t="s">
        <v>327</v>
      </c>
      <c r="E103" s="113" t="s">
        <v>974</v>
      </c>
      <c r="F103" s="83" t="str">
        <f t="shared" si="5"/>
        <v>CAJ_DEVU</v>
      </c>
      <c r="G103" s="143">
        <f>VLOOKUP(F103,Volumenes!$D$19:$G$346,4,FALSE)</f>
        <v>6.5</v>
      </c>
      <c r="H103" s="97"/>
      <c r="I103" s="98">
        <f>15/60</f>
        <v>0.25</v>
      </c>
      <c r="J103" s="110">
        <f>+I103*(1+Tiempos!$C$17)</f>
        <v>0.263125</v>
      </c>
      <c r="K103" s="123">
        <f t="shared" si="6"/>
        <v>1.7103124999999999</v>
      </c>
      <c r="L103" s="98">
        <f>+K103/Tiempos!$B$11</f>
        <v>3.7180706521739129E-3</v>
      </c>
      <c r="M103" s="261">
        <f>+K103/Tiempos!$B$12</f>
        <v>1.8590353260869565E-3</v>
      </c>
      <c r="N103" s="236"/>
      <c r="O103" s="236"/>
      <c r="P103" s="236"/>
      <c r="Q103" s="236"/>
    </row>
    <row r="104" spans="1:17" s="70" customFormat="1" x14ac:dyDescent="0.35">
      <c r="A104" s="92"/>
      <c r="B104" s="92">
        <v>2</v>
      </c>
      <c r="C104" s="100">
        <v>1</v>
      </c>
      <c r="D104" s="100" t="s">
        <v>46</v>
      </c>
      <c r="E104" s="112" t="s">
        <v>975</v>
      </c>
      <c r="F104" s="100" t="str">
        <f t="shared" si="5"/>
        <v>CAJ_DEVU</v>
      </c>
      <c r="G104" s="144">
        <f>VLOOKUP(F104,Volumenes!$D$19:$G$346,4,FALSE)</f>
        <v>6.5</v>
      </c>
      <c r="H104" s="155">
        <v>80</v>
      </c>
      <c r="I104" s="103">
        <f>(H104/Tiempos!$B$29)/60</f>
        <v>0.68376068376068377</v>
      </c>
      <c r="J104" s="111">
        <f>+I104*(1+Tiempos!$C$17)</f>
        <v>0.71965811965811965</v>
      </c>
      <c r="K104" s="146">
        <f>+J104*G104</f>
        <v>4.677777777777778</v>
      </c>
      <c r="L104" s="103">
        <f>+K104/Tiempos!$B$11</f>
        <v>1.0169082125603865E-2</v>
      </c>
      <c r="M104" s="262">
        <f>+K104/Tiempos!$B$12</f>
        <v>5.0845410628019326E-3</v>
      </c>
      <c r="N104" s="237"/>
      <c r="O104" s="237"/>
      <c r="P104" s="237"/>
      <c r="Q104" s="237"/>
    </row>
    <row r="105" spans="1:17" s="70" customFormat="1" x14ac:dyDescent="0.35">
      <c r="A105" s="81"/>
      <c r="B105" s="81">
        <v>2</v>
      </c>
      <c r="C105" s="83">
        <v>1</v>
      </c>
      <c r="D105" s="83" t="s">
        <v>327</v>
      </c>
      <c r="E105" s="113" t="s">
        <v>976</v>
      </c>
      <c r="F105" s="83" t="str">
        <f t="shared" si="5"/>
        <v>CAJ_DEVU</v>
      </c>
      <c r="G105" s="143">
        <f>VLOOKUP(F105,Volumenes!$D$19:$G$346,4,FALSE)</f>
        <v>6.5</v>
      </c>
      <c r="H105" s="180"/>
      <c r="I105" s="98">
        <f>25/60</f>
        <v>0.41666666666666669</v>
      </c>
      <c r="J105" s="110">
        <f>+I105*(1+Tiempos!$C$17)</f>
        <v>0.43854166666666666</v>
      </c>
      <c r="K105" s="123">
        <f t="shared" ref="K105:K106" si="7">+J105*G105</f>
        <v>2.8505208333333334</v>
      </c>
      <c r="L105" s="98">
        <f>+K105/Tiempos!$B$11</f>
        <v>6.1967844202898553E-3</v>
      </c>
      <c r="M105" s="261">
        <f>+K105/Tiempos!$B$12</f>
        <v>3.0983922101449277E-3</v>
      </c>
      <c r="N105" s="236"/>
      <c r="O105" s="236"/>
      <c r="P105" s="236"/>
      <c r="Q105" s="236"/>
    </row>
    <row r="106" spans="1:17" s="70" customFormat="1" x14ac:dyDescent="0.35">
      <c r="A106" s="81"/>
      <c r="B106" s="81">
        <v>2</v>
      </c>
      <c r="C106" s="83">
        <v>1</v>
      </c>
      <c r="D106" s="83" t="s">
        <v>46</v>
      </c>
      <c r="E106" s="113" t="s">
        <v>977</v>
      </c>
      <c r="F106" s="81" t="str">
        <f t="shared" si="5"/>
        <v>CAJ_DEVU</v>
      </c>
      <c r="G106" s="143">
        <f>VLOOKUP(F106,Volumenes!$D$19:$G$346,4,FALSE)</f>
        <v>6.5</v>
      </c>
      <c r="H106" s="97"/>
      <c r="I106" s="98">
        <f>10/60</f>
        <v>0.16666666666666666</v>
      </c>
      <c r="J106" s="110">
        <f>+I106*(1+Tiempos!$C$17)</f>
        <v>0.17541666666666667</v>
      </c>
      <c r="K106" s="123">
        <f t="shared" si="7"/>
        <v>1.1402083333333333</v>
      </c>
      <c r="L106" s="271">
        <f>+K106/Tiempos!$B$11</f>
        <v>2.478713768115942E-3</v>
      </c>
      <c r="M106" s="490">
        <f>+K106/Tiempos!$B$12</f>
        <v>1.239356884057971E-3</v>
      </c>
      <c r="N106" s="491"/>
      <c r="O106" s="491"/>
      <c r="P106" s="491"/>
      <c r="Q106" s="491"/>
    </row>
    <row r="107" spans="1:17" x14ac:dyDescent="0.35">
      <c r="L107" s="311">
        <f>SUM(L99:L106)</f>
        <v>0.1824714673913044</v>
      </c>
      <c r="M107" s="311">
        <f>SUM(M99:M106)</f>
        <v>9.1235733695652202E-2</v>
      </c>
      <c r="N107" s="238"/>
      <c r="O107" s="238"/>
      <c r="P107" s="238"/>
      <c r="Q107" s="238"/>
    </row>
    <row r="108" spans="1:17" x14ac:dyDescent="0.35">
      <c r="L108" s="489"/>
      <c r="M108" s="489"/>
    </row>
    <row r="109" spans="1:17" ht="13.15" x14ac:dyDescent="0.4">
      <c r="A109" s="296" t="s">
        <v>989</v>
      </c>
      <c r="B109" s="179"/>
      <c r="E109" s="120"/>
      <c r="F109" s="75"/>
      <c r="G109" s="152"/>
      <c r="H109" s="177"/>
      <c r="I109" s="109"/>
      <c r="J109" s="107"/>
      <c r="K109" s="162"/>
      <c r="L109" s="109"/>
      <c r="M109" s="45"/>
      <c r="N109" s="45"/>
      <c r="O109" s="45"/>
      <c r="P109" s="45"/>
      <c r="Q109" s="45"/>
    </row>
    <row r="110" spans="1:17" s="70" customFormat="1" x14ac:dyDescent="0.35">
      <c r="A110" s="81"/>
      <c r="B110" s="81">
        <v>2</v>
      </c>
      <c r="C110" s="83">
        <v>1</v>
      </c>
      <c r="D110" s="83" t="s">
        <v>46</v>
      </c>
      <c r="E110" s="113" t="s">
        <v>1069</v>
      </c>
      <c r="F110" s="83" t="str">
        <f>+Volumenes!D230</f>
        <v>CHI_VIA</v>
      </c>
      <c r="G110" s="143">
        <f>VLOOKUP(F110,Volumenes!$D$19:$G$346,4,FALSE)</f>
        <v>3</v>
      </c>
      <c r="H110" s="97"/>
      <c r="I110" s="123">
        <f>600/60</f>
        <v>10</v>
      </c>
      <c r="J110" s="110">
        <f>+I110*(1+Tiempos!$C$17)</f>
        <v>10.525</v>
      </c>
      <c r="K110" s="123">
        <f>+J110*G110</f>
        <v>31.575000000000003</v>
      </c>
      <c r="L110" s="98">
        <f>+K110/Tiempos!$B$11</f>
        <v>6.8641304347826088E-2</v>
      </c>
      <c r="M110" s="261">
        <f>+K110/Tiempos!$B$12</f>
        <v>3.4320652173913044E-2</v>
      </c>
      <c r="N110" s="233"/>
      <c r="O110" s="233"/>
      <c r="P110" s="233"/>
      <c r="Q110" s="233"/>
    </row>
    <row r="111" spans="1:17" s="70" customFormat="1" x14ac:dyDescent="0.35">
      <c r="A111" s="81"/>
      <c r="B111" s="81">
        <v>2</v>
      </c>
      <c r="C111" s="83">
        <v>1</v>
      </c>
      <c r="D111" s="83" t="s">
        <v>327</v>
      </c>
      <c r="E111" s="113" t="s">
        <v>992</v>
      </c>
      <c r="F111" s="83" t="str">
        <f>+Volumenes!D231</f>
        <v>ERR_CHI_GOI</v>
      </c>
      <c r="G111" s="143">
        <f>VLOOKUP(F111,Volumenes!$D$19:$G$346,4,FALSE)</f>
        <v>0.8871619047619046</v>
      </c>
      <c r="H111" s="97"/>
      <c r="I111" s="123">
        <f>300/60</f>
        <v>5</v>
      </c>
      <c r="J111" s="110">
        <f>+I111*(1+Tiempos!$C$17)</f>
        <v>5.2625000000000002</v>
      </c>
      <c r="K111" s="123">
        <f>+J111*G111</f>
        <v>4.6686895238095234</v>
      </c>
      <c r="L111" s="98">
        <f>+K111/Tiempos!$B$11</f>
        <v>1.0149325051759833E-2</v>
      </c>
      <c r="M111" s="261">
        <f>+K111/Tiempos!$B$12</f>
        <v>5.0746625258799166E-3</v>
      </c>
      <c r="N111" s="233"/>
      <c r="O111" s="233"/>
      <c r="P111" s="233"/>
      <c r="Q111" s="233"/>
    </row>
    <row r="112" spans="1:17" s="70" customFormat="1" x14ac:dyDescent="0.35">
      <c r="A112" s="92"/>
      <c r="B112" s="92">
        <v>2</v>
      </c>
      <c r="C112" s="100">
        <v>1</v>
      </c>
      <c r="D112" s="100" t="s">
        <v>46</v>
      </c>
      <c r="E112" s="112" t="s">
        <v>995</v>
      </c>
      <c r="F112" s="100" t="str">
        <f>+Volumenes!D32</f>
        <v>REF_CHINA</v>
      </c>
      <c r="G112" s="144">
        <f>VLOOKUP(F112,Volumenes!$D$19:$G$346,4,FALSE)</f>
        <v>44.358095238095231</v>
      </c>
      <c r="H112" s="155">
        <v>30</v>
      </c>
      <c r="I112" s="103">
        <f>(H112/Tiempos!$B$29)/60</f>
        <v>0.25641025641025644</v>
      </c>
      <c r="J112" s="111">
        <f>+I112*(1+Tiempos!$C$17)</f>
        <v>0.26987179487179491</v>
      </c>
      <c r="K112" s="146">
        <f>+J112*G112</f>
        <v>11.970998778998778</v>
      </c>
      <c r="L112" s="103">
        <f>+K112/Tiempos!$B$11</f>
        <v>2.6023910389127779E-2</v>
      </c>
      <c r="M112" s="262">
        <f>+K112/Tiempos!$B$12</f>
        <v>1.301195519456389E-2</v>
      </c>
      <c r="N112" s="234"/>
      <c r="O112" s="234"/>
      <c r="P112" s="234"/>
      <c r="Q112" s="234"/>
    </row>
    <row r="113" spans="1:17" s="70" customFormat="1" x14ac:dyDescent="0.35">
      <c r="A113" s="81"/>
      <c r="B113" s="81">
        <v>2</v>
      </c>
      <c r="C113" s="83">
        <v>1</v>
      </c>
      <c r="D113" s="83" t="s">
        <v>327</v>
      </c>
      <c r="E113" s="113" t="s">
        <v>996</v>
      </c>
      <c r="F113" s="83" t="str">
        <f t="shared" ref="F113:F117" si="8">+F112</f>
        <v>REF_CHINA</v>
      </c>
      <c r="G113" s="143">
        <f>VLOOKUP(F113,Volumenes!$D$19:$G$346,4,FALSE)</f>
        <v>44.358095238095231</v>
      </c>
      <c r="H113" s="97"/>
      <c r="I113" s="98">
        <f>15/60</f>
        <v>0.25</v>
      </c>
      <c r="J113" s="110">
        <f>+I113*(1+Tiempos!$C$17)</f>
        <v>0.263125</v>
      </c>
      <c r="K113" s="123">
        <f t="shared" ref="K113:K114" si="9">+J113*G113</f>
        <v>11.671723809523808</v>
      </c>
      <c r="L113" s="98">
        <f>+K113/Tiempos!$B$11</f>
        <v>2.5373312629399583E-2</v>
      </c>
      <c r="M113" s="261">
        <f>+K113/Tiempos!$B$12</f>
        <v>1.2686656314699792E-2</v>
      </c>
      <c r="N113" s="236"/>
      <c r="O113" s="236"/>
      <c r="P113" s="236"/>
      <c r="Q113" s="236"/>
    </row>
    <row r="114" spans="1:17" s="70" customFormat="1" x14ac:dyDescent="0.35">
      <c r="A114" s="81"/>
      <c r="B114" s="81">
        <v>2</v>
      </c>
      <c r="C114" s="83">
        <v>1</v>
      </c>
      <c r="D114" s="83" t="s">
        <v>327</v>
      </c>
      <c r="E114" s="113" t="s">
        <v>997</v>
      </c>
      <c r="F114" s="83" t="str">
        <f t="shared" si="8"/>
        <v>REF_CHINA</v>
      </c>
      <c r="G114" s="143">
        <f>VLOOKUP(F114,Volumenes!$D$19:$G$346,4,FALSE)</f>
        <v>44.358095238095231</v>
      </c>
      <c r="H114" s="97"/>
      <c r="I114" s="98">
        <f>15/60</f>
        <v>0.25</v>
      </c>
      <c r="J114" s="110">
        <f>+I114*(1+Tiempos!$C$17)</f>
        <v>0.263125</v>
      </c>
      <c r="K114" s="123">
        <f t="shared" si="9"/>
        <v>11.671723809523808</v>
      </c>
      <c r="L114" s="98">
        <f>+K114/Tiempos!$B$11</f>
        <v>2.5373312629399583E-2</v>
      </c>
      <c r="M114" s="261">
        <f>+K114/Tiempos!$B$12</f>
        <v>1.2686656314699792E-2</v>
      </c>
      <c r="N114" s="236"/>
      <c r="O114" s="236"/>
      <c r="P114" s="236"/>
      <c r="Q114" s="236"/>
    </row>
    <row r="115" spans="1:17" s="70" customFormat="1" x14ac:dyDescent="0.35">
      <c r="A115" s="92"/>
      <c r="B115" s="92">
        <v>2</v>
      </c>
      <c r="C115" s="100">
        <v>1</v>
      </c>
      <c r="D115" s="100" t="s">
        <v>46</v>
      </c>
      <c r="E115" s="112" t="s">
        <v>998</v>
      </c>
      <c r="F115" s="100" t="str">
        <f t="shared" si="8"/>
        <v>REF_CHINA</v>
      </c>
      <c r="G115" s="144">
        <f>VLOOKUP(F115,Volumenes!$D$19:$G$346,4,FALSE)</f>
        <v>44.358095238095231</v>
      </c>
      <c r="H115" s="155">
        <v>10</v>
      </c>
      <c r="I115" s="103">
        <f>(H115/Tiempos!$B$29)/60</f>
        <v>8.5470085470085472E-2</v>
      </c>
      <c r="J115" s="111">
        <f>+I115*(1+Tiempos!$C$17)</f>
        <v>8.9957264957264957E-2</v>
      </c>
      <c r="K115" s="146">
        <f>+J115*G115</f>
        <v>3.9903329263329255</v>
      </c>
      <c r="L115" s="103">
        <f>+K115/Tiempos!$B$11</f>
        <v>8.6746367963759247E-3</v>
      </c>
      <c r="M115" s="262">
        <f>+K115/Tiempos!$B$12</f>
        <v>4.3373183981879624E-3</v>
      </c>
      <c r="N115" s="237"/>
      <c r="O115" s="237"/>
      <c r="P115" s="237"/>
      <c r="Q115" s="237"/>
    </row>
    <row r="116" spans="1:17" s="70" customFormat="1" x14ac:dyDescent="0.35">
      <c r="A116" s="81"/>
      <c r="B116" s="81">
        <v>2</v>
      </c>
      <c r="C116" s="83">
        <v>1</v>
      </c>
      <c r="D116" s="83" t="s">
        <v>327</v>
      </c>
      <c r="E116" s="113" t="s">
        <v>996</v>
      </c>
      <c r="F116" s="83" t="str">
        <f t="shared" si="8"/>
        <v>REF_CHINA</v>
      </c>
      <c r="G116" s="143">
        <f>VLOOKUP(F116,Volumenes!$D$19:$G$346,4,FALSE)</f>
        <v>44.358095238095231</v>
      </c>
      <c r="H116" s="180"/>
      <c r="I116" s="98">
        <f>15/60</f>
        <v>0.25</v>
      </c>
      <c r="J116" s="110">
        <f>+I116*(1+Tiempos!$C$17)</f>
        <v>0.263125</v>
      </c>
      <c r="K116" s="123">
        <f t="shared" ref="K116:K117" si="10">+J116*G116</f>
        <v>11.671723809523808</v>
      </c>
      <c r="L116" s="98">
        <f>+K116/Tiempos!$B$11</f>
        <v>2.5373312629399583E-2</v>
      </c>
      <c r="M116" s="261">
        <f>+K116/Tiempos!$B$12</f>
        <v>1.2686656314699792E-2</v>
      </c>
      <c r="N116" s="236"/>
      <c r="O116" s="236"/>
      <c r="P116" s="236"/>
      <c r="Q116" s="236"/>
    </row>
    <row r="117" spans="1:17" s="70" customFormat="1" x14ac:dyDescent="0.35">
      <c r="A117" s="81"/>
      <c r="B117" s="81">
        <v>2</v>
      </c>
      <c r="C117" s="83">
        <v>1</v>
      </c>
      <c r="D117" s="83" t="s">
        <v>46</v>
      </c>
      <c r="E117" s="113" t="s">
        <v>997</v>
      </c>
      <c r="F117" s="81" t="str">
        <f t="shared" si="8"/>
        <v>REF_CHINA</v>
      </c>
      <c r="G117" s="143">
        <f>VLOOKUP(F117,Volumenes!$D$19:$G$346,4,FALSE)</f>
        <v>44.358095238095231</v>
      </c>
      <c r="H117" s="97"/>
      <c r="I117" s="98">
        <f>15/60</f>
        <v>0.25</v>
      </c>
      <c r="J117" s="110">
        <f>+I117*(1+Tiempos!$C$17)</f>
        <v>0.263125</v>
      </c>
      <c r="K117" s="123">
        <f t="shared" si="10"/>
        <v>11.671723809523808</v>
      </c>
      <c r="L117" s="271">
        <f>+K117/Tiempos!$B$11</f>
        <v>2.5373312629399583E-2</v>
      </c>
      <c r="M117" s="490">
        <f>+K117/Tiempos!$B$12</f>
        <v>1.2686656314699792E-2</v>
      </c>
      <c r="N117" s="491"/>
      <c r="O117" s="491"/>
      <c r="P117" s="491"/>
      <c r="Q117" s="491"/>
    </row>
    <row r="118" spans="1:17" x14ac:dyDescent="0.35">
      <c r="L118" s="311">
        <f>SUM(L110:L117)</f>
        <v>0.21498242710268795</v>
      </c>
      <c r="M118" s="311">
        <f>SUM(M110:M117)</f>
        <v>0.10749121355134397</v>
      </c>
      <c r="N118" s="238"/>
      <c r="O118" s="238"/>
      <c r="P118" s="238"/>
      <c r="Q118" s="238"/>
    </row>
    <row r="119" spans="1:17" ht="15" x14ac:dyDescent="0.4">
      <c r="A119" s="487"/>
      <c r="C119" s="52"/>
      <c r="F119" s="44"/>
      <c r="G119" s="153"/>
      <c r="K119" s="169" t="s">
        <v>40</v>
      </c>
      <c r="L119" s="86">
        <f>+L73+L48+L85+L96+L107+L118</f>
        <v>2.0118302984255925</v>
      </c>
      <c r="M119" s="86">
        <f>+M73+M48+M85+M95+M107+M118</f>
        <v>0.55205370016259758</v>
      </c>
      <c r="N119" s="86"/>
      <c r="O119" s="86"/>
      <c r="P119" s="86" t="e">
        <f ca="1">SUM(P9:P644)</f>
        <v>#N/A</v>
      </c>
      <c r="Q119" s="86" t="e">
        <f ca="1">SUM(Q9:Q644)</f>
        <v>#N/A</v>
      </c>
    </row>
    <row r="120" spans="1:17" ht="13.9" x14ac:dyDescent="0.4">
      <c r="G120" s="153"/>
      <c r="K120" s="170" t="s">
        <v>41</v>
      </c>
      <c r="L120" s="244">
        <v>2</v>
      </c>
      <c r="M120" s="244">
        <v>2</v>
      </c>
      <c r="N120" s="171">
        <v>0</v>
      </c>
      <c r="O120" s="171"/>
      <c r="P120" s="171">
        <v>0</v>
      </c>
      <c r="Q120" s="171">
        <v>0</v>
      </c>
    </row>
    <row r="121" spans="1:17" ht="13.5" x14ac:dyDescent="0.35">
      <c r="G121" s="153"/>
      <c r="K121" s="169" t="s">
        <v>42</v>
      </c>
      <c r="L121" s="122">
        <f>+L119/L120</f>
        <v>1.0059151492127962</v>
      </c>
      <c r="M121" s="122">
        <f>+M119/M120</f>
        <v>0.27602685008129879</v>
      </c>
      <c r="N121" s="122" t="e">
        <f>+N119/N120</f>
        <v>#DIV/0!</v>
      </c>
      <c r="O121" s="122"/>
      <c r="P121" s="122" t="e">
        <f ca="1">+P119/P120</f>
        <v>#N/A</v>
      </c>
      <c r="Q121" s="122" t="e">
        <f ca="1">+Q119/Q120</f>
        <v>#N/A</v>
      </c>
    </row>
    <row r="122" spans="1:17" x14ac:dyDescent="0.35">
      <c r="G122" s="153"/>
      <c r="K122" s="165"/>
    </row>
    <row r="123" spans="1:17" s="70" customFormat="1" ht="17.649999999999999" x14ac:dyDescent="0.35">
      <c r="A123" s="79" t="s">
        <v>147</v>
      </c>
      <c r="B123" s="79"/>
      <c r="E123" s="94"/>
      <c r="F123" s="80"/>
      <c r="G123" s="154"/>
      <c r="H123" s="80"/>
      <c r="I123" s="80"/>
      <c r="J123" s="80"/>
      <c r="K123" s="168"/>
      <c r="L123" s="80"/>
    </row>
    <row r="124" spans="1:17" x14ac:dyDescent="0.35">
      <c r="A124" s="92"/>
      <c r="B124" s="92">
        <v>2</v>
      </c>
      <c r="C124" s="100">
        <v>1</v>
      </c>
      <c r="D124" s="100" t="s">
        <v>333</v>
      </c>
      <c r="E124" s="101" t="s">
        <v>250</v>
      </c>
      <c r="F124" s="92" t="str">
        <f>+Volumenes!$D$62</f>
        <v>REF_EXT_TRA</v>
      </c>
      <c r="G124" s="144">
        <f>VLOOKUP(F124,Volumenes!$D$19:$G$346,4,FALSE)</f>
        <v>113.80506666666666</v>
      </c>
      <c r="H124" s="102">
        <f>+Tiempos!E64</f>
        <v>5</v>
      </c>
      <c r="I124" s="103">
        <f>+Tiempos!F64</f>
        <v>4.2735042735042736E-2</v>
      </c>
      <c r="J124" s="111">
        <f>+I124*(1+Tiempos!$C$17)</f>
        <v>4.4978632478632478E-2</v>
      </c>
      <c r="K124" s="146">
        <f>+J124*G124</f>
        <v>5.1187962678062675</v>
      </c>
      <c r="L124" s="103">
        <f>+K124/Tiempos!$B$11</f>
        <v>1.1127817973491886E-2</v>
      </c>
      <c r="M124" s="237"/>
      <c r="N124" s="237">
        <f>IF($D124=Tiempos!$A$35,"",IF($B124=Tiempos!$A$36,L124,L124/2))</f>
        <v>5.563908986745943E-3</v>
      </c>
      <c r="O124" s="237"/>
      <c r="P124" s="237"/>
      <c r="Q124" s="237"/>
    </row>
    <row r="125" spans="1:17" x14ac:dyDescent="0.35">
      <c r="A125" s="81"/>
      <c r="B125" s="81">
        <v>2</v>
      </c>
      <c r="C125" s="83">
        <v>1</v>
      </c>
      <c r="D125" s="83" t="s">
        <v>333</v>
      </c>
      <c r="E125" s="99" t="s">
        <v>251</v>
      </c>
      <c r="F125" s="81" t="str">
        <f>+Volumenes!$D$62</f>
        <v>REF_EXT_TRA</v>
      </c>
      <c r="G125" s="143">
        <f>VLOOKUP(F125,Volumenes!$D$19:$G$346,4,FALSE)</f>
        <v>113.80506666666666</v>
      </c>
      <c r="H125" s="97"/>
      <c r="I125" s="98">
        <f>18/60</f>
        <v>0.3</v>
      </c>
      <c r="J125" s="110">
        <f>+I125*(1+Tiempos!$C$17)</f>
        <v>0.31574999999999998</v>
      </c>
      <c r="K125" s="123">
        <f>+J125*G125</f>
        <v>35.933949799999994</v>
      </c>
      <c r="L125" s="98">
        <f>+K125/Tiempos!$B$11</f>
        <v>7.8117282173913033E-2</v>
      </c>
      <c r="M125" s="236"/>
      <c r="N125" s="236">
        <f>IF($D125=Tiempos!$A$35,"",IF($B125=Tiempos!$A$36,L125,L125/2))</f>
        <v>3.9058641086956516E-2</v>
      </c>
      <c r="O125" s="236"/>
      <c r="P125" s="236"/>
      <c r="Q125" s="236"/>
    </row>
    <row r="126" spans="1:17" x14ac:dyDescent="0.35">
      <c r="A126" s="92"/>
      <c r="B126" s="92">
        <v>2</v>
      </c>
      <c r="C126" s="100">
        <v>1</v>
      </c>
      <c r="D126" s="100" t="s">
        <v>333</v>
      </c>
      <c r="E126" s="101" t="s">
        <v>189</v>
      </c>
      <c r="F126" s="92" t="str">
        <f>+F125</f>
        <v>REF_EXT_TRA</v>
      </c>
      <c r="G126" s="144">
        <f>VLOOKUP(F126,Volumenes!$D$19:$G$346,4,FALSE)</f>
        <v>113.80506666666666</v>
      </c>
      <c r="H126" s="102">
        <f>+Tiempos!E64</f>
        <v>5</v>
      </c>
      <c r="I126" s="103">
        <f>+Tiempos!F64</f>
        <v>4.2735042735042736E-2</v>
      </c>
      <c r="J126" s="111">
        <f>+I126*(1+Tiempos!$C$17)</f>
        <v>4.4978632478632478E-2</v>
      </c>
      <c r="K126" s="146">
        <f>+J126*G126</f>
        <v>5.1187962678062675</v>
      </c>
      <c r="L126" s="103">
        <f>+K126/Tiempos!$B$11</f>
        <v>1.1127817973491886E-2</v>
      </c>
      <c r="M126" s="237"/>
      <c r="N126" s="237">
        <f>IF($D126=Tiempos!$A$35,"",IF($B126=Tiempos!$A$36,L126,L126/2))</f>
        <v>5.563908986745943E-3</v>
      </c>
      <c r="O126" s="237"/>
      <c r="P126" s="237"/>
      <c r="Q126" s="237"/>
    </row>
    <row r="127" spans="1:17" x14ac:dyDescent="0.35">
      <c r="A127" s="81"/>
      <c r="B127" s="81">
        <v>2</v>
      </c>
      <c r="C127" s="83">
        <v>1</v>
      </c>
      <c r="D127" s="83" t="s">
        <v>333</v>
      </c>
      <c r="E127" s="99" t="s">
        <v>252</v>
      </c>
      <c r="F127" s="81" t="s">
        <v>253</v>
      </c>
      <c r="G127" s="143">
        <f>VLOOKUP(F127,Volumenes!$D$19:$G$346,4,FALSE)</f>
        <v>227.61013333333332</v>
      </c>
      <c r="H127" s="97"/>
      <c r="I127" s="98">
        <f>+I125</f>
        <v>0.3</v>
      </c>
      <c r="J127" s="110">
        <f>+I127*(1+Tiempos!$C$17)</f>
        <v>0.31574999999999998</v>
      </c>
      <c r="K127" s="123">
        <f t="shared" ref="K127:K132" si="11">+J127*G127</f>
        <v>71.867899599999987</v>
      </c>
      <c r="L127" s="98">
        <f>+K127/Tiempos!$B$11</f>
        <v>0.15623456434782607</v>
      </c>
      <c r="M127" s="236"/>
      <c r="N127" s="236">
        <f>IF($D127=Tiempos!$A$35,"",IF($B127=Tiempos!$A$36,L127,L127/2))</f>
        <v>7.8117282173913033E-2</v>
      </c>
      <c r="O127" s="236"/>
      <c r="P127" s="236"/>
      <c r="Q127" s="236"/>
    </row>
    <row r="128" spans="1:17" x14ac:dyDescent="0.35">
      <c r="A128" s="92"/>
      <c r="B128" s="92">
        <v>2</v>
      </c>
      <c r="C128" s="100">
        <v>1</v>
      </c>
      <c r="D128" s="100" t="s">
        <v>333</v>
      </c>
      <c r="E128" s="101" t="s">
        <v>192</v>
      </c>
      <c r="F128" s="92" t="s">
        <v>74</v>
      </c>
      <c r="G128" s="144">
        <f>VLOOKUP(F128,Volumenes!$D$19:$G$346,4,FALSE)</f>
        <v>113.80506666666666</v>
      </c>
      <c r="H128" s="102">
        <f>VLOOKUP(F128,Tiempos!$D$42:$F$113,2,FALSE)</f>
        <v>20</v>
      </c>
      <c r="I128" s="103">
        <f>+Tiempos!F64</f>
        <v>4.2735042735042736E-2</v>
      </c>
      <c r="J128" s="111">
        <f>+I128*(1+Tiempos!$C$17)</f>
        <v>4.4978632478632478E-2</v>
      </c>
      <c r="K128" s="146">
        <f t="shared" si="11"/>
        <v>5.1187962678062675</v>
      </c>
      <c r="L128" s="103">
        <f>+K128/Tiempos!$B$11</f>
        <v>1.1127817973491886E-2</v>
      </c>
      <c r="M128" s="237"/>
      <c r="N128" s="237">
        <f>IF($D128=Tiempos!$A$35,"",IF($B128=Tiempos!$A$36,L128,L128/2))</f>
        <v>5.563908986745943E-3</v>
      </c>
      <c r="O128" s="237"/>
      <c r="P128" s="237"/>
      <c r="Q128" s="237"/>
    </row>
    <row r="129" spans="1:17" x14ac:dyDescent="0.35">
      <c r="A129" s="81"/>
      <c r="B129" s="81">
        <v>2</v>
      </c>
      <c r="C129" s="83">
        <v>1</v>
      </c>
      <c r="D129" s="83" t="s">
        <v>46</v>
      </c>
      <c r="E129" s="99" t="s">
        <v>190</v>
      </c>
      <c r="F129" s="81" t="s">
        <v>74</v>
      </c>
      <c r="G129" s="143">
        <f>VLOOKUP(F129,Volumenes!$D$19:$G$346,4,FALSE)</f>
        <v>113.80506666666666</v>
      </c>
      <c r="H129" s="97"/>
      <c r="I129" s="98">
        <v>5</v>
      </c>
      <c r="J129" s="110">
        <f>+I129*(1+Tiempos!$C$17)</f>
        <v>5.2625000000000002</v>
      </c>
      <c r="K129" s="123">
        <f t="shared" si="11"/>
        <v>598.89916333333338</v>
      </c>
      <c r="L129" s="98">
        <f>+K129/Tiempos!$B$11</f>
        <v>1.3019547028985508</v>
      </c>
      <c r="M129" s="236"/>
      <c r="N129" s="236" t="str">
        <f>IF($D129=Tiempos!$A$35,"",IF($B129=Tiempos!$A$36,L129,L129/2))</f>
        <v/>
      </c>
      <c r="O129" s="236"/>
      <c r="P129" s="236" t="str">
        <f>IF($D129=Tiempos!$A$35,"",IF($B129=Tiempos!$A$36,N129,N129/2))</f>
        <v/>
      </c>
      <c r="Q129" s="236" t="str">
        <f>IF($D129=Tiempos!$A$35,"",IF($B129=Tiempos!$A$36,P129,P129/2))</f>
        <v/>
      </c>
    </row>
    <row r="130" spans="1:17" x14ac:dyDescent="0.35">
      <c r="A130" s="81"/>
      <c r="B130" s="81">
        <v>2</v>
      </c>
      <c r="C130" s="83">
        <v>1</v>
      </c>
      <c r="D130" s="83" t="s">
        <v>46</v>
      </c>
      <c r="E130" s="45" t="s">
        <v>191</v>
      </c>
      <c r="F130" s="81" t="s">
        <v>74</v>
      </c>
      <c r="G130" s="143">
        <f>VLOOKUP(F130,Volumenes!$D$19:$G$346,4,FALSE)</f>
        <v>113.80506666666666</v>
      </c>
      <c r="H130" s="97"/>
      <c r="I130" s="98">
        <v>0.8</v>
      </c>
      <c r="J130" s="110">
        <f>+I130*(1+Tiempos!$C$17)</f>
        <v>0.84200000000000008</v>
      </c>
      <c r="K130" s="123">
        <f t="shared" si="11"/>
        <v>95.82386613333334</v>
      </c>
      <c r="L130" s="98">
        <f>+K130/Tiempos!$B$11</f>
        <v>0.20831275246376812</v>
      </c>
      <c r="M130" s="236" t="str">
        <f>IF($D130=Tiempos!$A$35,"",IF($B130=Tiempos!$A$36,L130,L130/2))</f>
        <v/>
      </c>
      <c r="N130" s="236" t="str">
        <f>IF($D130=Tiempos!$A$35,"",IF($B130=Tiempos!$A$36,L130,L130/2))</f>
        <v/>
      </c>
      <c r="O130" s="236"/>
      <c r="P130" s="236" t="str">
        <f>IF($D130=Tiempos!$A$35,"",IF($B130=Tiempos!$A$36,N130,N130/2))</f>
        <v/>
      </c>
      <c r="Q130" s="236" t="str">
        <f>IF($D130=Tiempos!$A$35,"",IF($B130=Tiempos!$A$36,P130,P130/2))</f>
        <v/>
      </c>
    </row>
    <row r="131" spans="1:17" x14ac:dyDescent="0.35">
      <c r="A131" s="81"/>
      <c r="B131" s="81">
        <v>2</v>
      </c>
      <c r="C131" s="83">
        <v>1</v>
      </c>
      <c r="D131" s="83" t="s">
        <v>46</v>
      </c>
      <c r="E131" s="99" t="s">
        <v>193</v>
      </c>
      <c r="F131" s="81" t="s">
        <v>253</v>
      </c>
      <c r="G131" s="143">
        <f>VLOOKUP(F131,Volumenes!$D$19:$G$346,4,FALSE)</f>
        <v>227.61013333333332</v>
      </c>
      <c r="H131" s="97"/>
      <c r="I131" s="98">
        <v>0.15</v>
      </c>
      <c r="J131" s="110">
        <f>+I131*(1+Tiempos!$C$17)</f>
        <v>0.15787499999999999</v>
      </c>
      <c r="K131" s="123">
        <f t="shared" si="11"/>
        <v>35.933949799999994</v>
      </c>
      <c r="L131" s="98">
        <f>+K131/Tiempos!$B$11</f>
        <v>7.8117282173913033E-2</v>
      </c>
      <c r="M131" s="236" t="str">
        <f>IF($D131=Tiempos!$A$35,"",IF($B131=Tiempos!$A$36,L131,L131/2))</f>
        <v/>
      </c>
      <c r="N131" s="236" t="str">
        <f>IF($D131=Tiempos!$A$35,"",IF($B131=Tiempos!$A$36,L131,L131/2))</f>
        <v/>
      </c>
      <c r="O131" s="236"/>
      <c r="P131" s="236" t="str">
        <f>IF($D131=Tiempos!$A$35,"",IF($B131=Tiempos!$A$36,N131,N131/2))</f>
        <v/>
      </c>
      <c r="Q131" s="236" t="str">
        <f>IF($D131=Tiempos!$A$35,"",IF($B131=Tiempos!$A$36,P131,P131/2))</f>
        <v/>
      </c>
    </row>
    <row r="132" spans="1:17" x14ac:dyDescent="0.35">
      <c r="A132" s="92"/>
      <c r="B132" s="92">
        <v>2</v>
      </c>
      <c r="C132" s="100">
        <v>1</v>
      </c>
      <c r="D132" s="100" t="s">
        <v>46</v>
      </c>
      <c r="E132" s="101" t="s">
        <v>192</v>
      </c>
      <c r="F132" s="92" t="str">
        <f>+Volumenes!$D$62</f>
        <v>REF_EXT_TRA</v>
      </c>
      <c r="G132" s="144">
        <f>VLOOKUP(F132,Volumenes!$D$19:$G$346,4,FALSE)</f>
        <v>113.80506666666666</v>
      </c>
      <c r="H132" s="102">
        <f>+Tiempos!E64</f>
        <v>5</v>
      </c>
      <c r="I132" s="103">
        <f>+Tiempos!F64</f>
        <v>4.2735042735042736E-2</v>
      </c>
      <c r="J132" s="111">
        <f>+I132*(1+Tiempos!$C$17)</f>
        <v>4.4978632478632478E-2</v>
      </c>
      <c r="K132" s="146">
        <f t="shared" si="11"/>
        <v>5.1187962678062675</v>
      </c>
      <c r="L132" s="103">
        <f>+K132/Tiempos!$B$11</f>
        <v>1.1127817973491886E-2</v>
      </c>
      <c r="M132" s="237" t="str">
        <f>IF($D132=Tiempos!$A$35,"",IF($B132=Tiempos!$A$36,L132,L132/2))</f>
        <v/>
      </c>
      <c r="N132" s="237" t="str">
        <f>IF($D132=Tiempos!$A$35,"",IF($B132=Tiempos!$A$36,L132,L132/2))</f>
        <v/>
      </c>
      <c r="O132" s="237"/>
      <c r="P132" s="237" t="str">
        <f>IF($D132=Tiempos!$A$35,"",IF($B132=Tiempos!$A$36,N132,N132/2))</f>
        <v/>
      </c>
      <c r="Q132" s="237" t="str">
        <f>IF($D132=Tiempos!$A$35,"",IF($B132=Tiempos!$A$36,P132,P132/2))</f>
        <v/>
      </c>
    </row>
    <row r="133" spans="1:17" ht="13.5" x14ac:dyDescent="0.35">
      <c r="A133" s="75"/>
      <c r="B133" s="75"/>
      <c r="E133" s="104"/>
      <c r="F133" s="75"/>
      <c r="G133" s="152"/>
      <c r="H133" s="105"/>
      <c r="I133" s="106"/>
      <c r="J133" s="107"/>
      <c r="K133" s="169" t="s">
        <v>40</v>
      </c>
      <c r="L133" s="86">
        <f>SUM(L124:L132)</f>
        <v>1.8672478559519385</v>
      </c>
      <c r="M133" s="86">
        <f>SUM(M124:M132)</f>
        <v>0</v>
      </c>
      <c r="N133" s="86">
        <f>SUM(N124:N132)</f>
        <v>0.13386765022110739</v>
      </c>
      <c r="O133" s="86"/>
      <c r="P133" s="86">
        <f>SUM(P124:P132)</f>
        <v>0</v>
      </c>
      <c r="Q133" s="86">
        <f>SUM(Q124:Q132)</f>
        <v>0</v>
      </c>
    </row>
    <row r="134" spans="1:17" ht="13.9" x14ac:dyDescent="0.4">
      <c r="B134" s="199"/>
      <c r="E134" s="104"/>
      <c r="F134" s="75"/>
      <c r="G134" s="152"/>
      <c r="H134" s="105"/>
      <c r="I134" s="106"/>
      <c r="J134" s="107"/>
      <c r="K134" s="170" t="s">
        <v>41</v>
      </c>
      <c r="L134" s="245">
        <v>2</v>
      </c>
      <c r="M134" s="93">
        <v>0</v>
      </c>
      <c r="N134" s="93">
        <v>1</v>
      </c>
      <c r="O134" s="93"/>
      <c r="P134" s="93">
        <v>0</v>
      </c>
      <c r="Q134" s="93">
        <v>0</v>
      </c>
    </row>
    <row r="135" spans="1:17" ht="13.5" x14ac:dyDescent="0.35">
      <c r="A135" s="200" t="s">
        <v>194</v>
      </c>
      <c r="B135" s="200"/>
      <c r="E135" s="104"/>
      <c r="F135" s="75"/>
      <c r="G135" s="152"/>
      <c r="H135" s="105"/>
      <c r="I135" s="106"/>
      <c r="J135" s="107"/>
      <c r="K135" s="169" t="s">
        <v>42</v>
      </c>
      <c r="L135" s="122">
        <f>+L133/L134</f>
        <v>0.93362392797596927</v>
      </c>
      <c r="M135" s="122" t="e">
        <f>+M133/M134</f>
        <v>#DIV/0!</v>
      </c>
      <c r="N135" s="122">
        <f>+N133/N134</f>
        <v>0.13386765022110739</v>
      </c>
      <c r="O135" s="122"/>
      <c r="P135" s="122" t="e">
        <f>+P133/P134</f>
        <v>#DIV/0!</v>
      </c>
      <c r="Q135" s="122" t="e">
        <f>+Q133/Q134</f>
        <v>#DIV/0!</v>
      </c>
    </row>
    <row r="136" spans="1:17" x14ac:dyDescent="0.35">
      <c r="A136" s="75"/>
      <c r="B136" s="75"/>
      <c r="E136" s="104"/>
      <c r="F136" s="75"/>
      <c r="G136" s="152"/>
      <c r="H136" s="105"/>
      <c r="I136" s="106"/>
      <c r="J136" s="107"/>
      <c r="K136" s="162"/>
      <c r="L136" s="106"/>
    </row>
    <row r="137" spans="1:17" ht="17.649999999999999" x14ac:dyDescent="0.35">
      <c r="A137" s="79" t="s">
        <v>66</v>
      </c>
      <c r="B137" s="79"/>
      <c r="C137" s="70"/>
      <c r="D137" s="70"/>
      <c r="E137" s="94"/>
      <c r="F137" s="80"/>
      <c r="G137" s="154"/>
      <c r="H137" s="80"/>
      <c r="I137" s="80"/>
      <c r="J137" s="80"/>
      <c r="K137" s="168"/>
      <c r="L137" s="80"/>
    </row>
    <row r="138" spans="1:17" ht="13.15" x14ac:dyDescent="0.4">
      <c r="A138" s="84" t="s">
        <v>854</v>
      </c>
      <c r="B138" s="84"/>
      <c r="C138" s="70"/>
      <c r="D138" s="70"/>
      <c r="E138" s="94"/>
      <c r="F138" s="80"/>
      <c r="G138" s="154"/>
      <c r="H138" s="80"/>
      <c r="I138" s="80"/>
      <c r="J138" s="80"/>
      <c r="K138" s="168"/>
      <c r="L138" s="80"/>
    </row>
    <row r="139" spans="1:17" x14ac:dyDescent="0.35">
      <c r="A139" s="81"/>
      <c r="B139" s="81">
        <v>2</v>
      </c>
      <c r="C139" s="83">
        <v>1</v>
      </c>
      <c r="D139" s="83" t="s">
        <v>334</v>
      </c>
      <c r="E139" s="99" t="s">
        <v>255</v>
      </c>
      <c r="F139" s="81" t="str">
        <f>+Volumenes!D88</f>
        <v>UB_BUL_PROV</v>
      </c>
      <c r="G139" s="143">
        <f>VLOOKUP(F139,Volumenes!$D$19:$G$346,4,FALSE)</f>
        <v>249.20229058670799</v>
      </c>
      <c r="H139" s="97"/>
      <c r="I139" s="98">
        <f>22/60</f>
        <v>0.36666666666666664</v>
      </c>
      <c r="J139" s="110">
        <f>+I139*(1+Tiempos!$C$17)</f>
        <v>0.38591666666666663</v>
      </c>
      <c r="K139" s="123">
        <f>+J139*G139</f>
        <v>96.171317308920379</v>
      </c>
      <c r="L139" s="98">
        <f>+K139/Tiempos!$B$11</f>
        <v>0.20906808110634864</v>
      </c>
      <c r="M139" s="236"/>
      <c r="N139" s="236"/>
      <c r="O139" s="236"/>
      <c r="P139" s="236"/>
      <c r="Q139" s="261">
        <f>+K139/Tiempos!$B$12</f>
        <v>0.10453404055317432</v>
      </c>
    </row>
    <row r="140" spans="1:17" x14ac:dyDescent="0.35">
      <c r="A140" s="92"/>
      <c r="B140" s="92">
        <v>2</v>
      </c>
      <c r="C140" s="100">
        <v>1</v>
      </c>
      <c r="D140" s="100" t="s">
        <v>334</v>
      </c>
      <c r="E140" s="101" t="s">
        <v>67</v>
      </c>
      <c r="F140" s="92" t="s">
        <v>129</v>
      </c>
      <c r="G140" s="144">
        <f>VLOOKUP(F140,Volumenes!$D$19:$G$346,4,FALSE)</f>
        <v>249.20229058670799</v>
      </c>
      <c r="H140" s="102">
        <f>+Tiempos!E66</f>
        <v>100</v>
      </c>
      <c r="I140" s="103">
        <f>+Tiempos!F66</f>
        <v>0.85470085470085477</v>
      </c>
      <c r="J140" s="111">
        <f>+I140*(1+Tiempos!$C$17)</f>
        <v>0.8995726495726496</v>
      </c>
      <c r="K140" s="146">
        <f>+J140*G140</f>
        <v>224.17556482265826</v>
      </c>
      <c r="L140" s="103">
        <f>+K140/Tiempos!$B$11</f>
        <v>0.48733818439708315</v>
      </c>
      <c r="M140" s="237"/>
      <c r="N140" s="237"/>
      <c r="O140" s="237"/>
      <c r="P140" s="237"/>
      <c r="Q140" s="262">
        <f>+K140/Tiempos!$B$12</f>
        <v>0.24366909219854158</v>
      </c>
    </row>
    <row r="141" spans="1:17" x14ac:dyDescent="0.35">
      <c r="A141" s="81"/>
      <c r="B141" s="81">
        <v>2</v>
      </c>
      <c r="C141" s="83">
        <v>1</v>
      </c>
      <c r="D141" s="83" t="s">
        <v>334</v>
      </c>
      <c r="E141" s="99" t="s">
        <v>203</v>
      </c>
      <c r="F141" s="81" t="str">
        <f>+F142</f>
        <v>UB_BUL_PROV</v>
      </c>
      <c r="G141" s="143">
        <f>VLOOKUP(F141,Volumenes!$D$19:$G$346,4,FALSE)</f>
        <v>249.20229058670799</v>
      </c>
      <c r="H141" s="97"/>
      <c r="I141" s="98">
        <f>7/60</f>
        <v>0.11666666666666667</v>
      </c>
      <c r="J141" s="110">
        <f>+I141*(1+Tiempos!$C$17)</f>
        <v>0.12279166666666667</v>
      </c>
      <c r="K141" s="123">
        <f>+J141*G141</f>
        <v>30.599964598292853</v>
      </c>
      <c r="L141" s="98">
        <f>+K141/Tiempos!$B$11</f>
        <v>6.6521662170201862E-2</v>
      </c>
      <c r="M141" s="236"/>
      <c r="N141" s="236"/>
      <c r="O141" s="236"/>
      <c r="P141" s="236"/>
      <c r="Q141" s="261">
        <f>+K141/Tiempos!$B$12</f>
        <v>3.3260831085100931E-2</v>
      </c>
    </row>
    <row r="142" spans="1:17" x14ac:dyDescent="0.35">
      <c r="A142" s="81"/>
      <c r="B142" s="81">
        <v>2</v>
      </c>
      <c r="C142" s="83">
        <v>1</v>
      </c>
      <c r="D142" s="83" t="s">
        <v>334</v>
      </c>
      <c r="E142" s="99" t="s">
        <v>202</v>
      </c>
      <c r="F142" s="81" t="str">
        <f>+Volumenes!D88</f>
        <v>UB_BUL_PROV</v>
      </c>
      <c r="G142" s="143">
        <f>VLOOKUP(F142,Volumenes!$D$19:$G$346,4,FALSE)</f>
        <v>249.20229058670799</v>
      </c>
      <c r="H142" s="97"/>
      <c r="I142" s="98">
        <f>30/60</f>
        <v>0.5</v>
      </c>
      <c r="J142" s="110">
        <f>+I142*(1+Tiempos!$C$17)</f>
        <v>0.52625</v>
      </c>
      <c r="K142" s="123">
        <f>+J142*G142</f>
        <v>131.14270542125507</v>
      </c>
      <c r="L142" s="98">
        <f>+K142/Tiempos!$B$11</f>
        <v>0.28509283787229361</v>
      </c>
      <c r="M142" s="236"/>
      <c r="N142" s="236"/>
      <c r="O142" s="236"/>
      <c r="P142" s="236"/>
      <c r="Q142" s="261">
        <f>+K142/Tiempos!$B$12</f>
        <v>0.14254641893614681</v>
      </c>
    </row>
    <row r="143" spans="1:17" x14ac:dyDescent="0.35">
      <c r="A143" s="92"/>
      <c r="B143" s="92">
        <v>2</v>
      </c>
      <c r="C143" s="100">
        <v>1</v>
      </c>
      <c r="D143" s="100" t="s">
        <v>334</v>
      </c>
      <c r="E143" s="101" t="s">
        <v>68</v>
      </c>
      <c r="F143" s="92" t="s">
        <v>129</v>
      </c>
      <c r="G143" s="144">
        <f>VLOOKUP(F143,Volumenes!$D$19:$G$346,4,FALSE)</f>
        <v>249.20229058670799</v>
      </c>
      <c r="H143" s="102">
        <f>+Tiempos!E66</f>
        <v>100</v>
      </c>
      <c r="I143" s="103">
        <f>+Tiempos!F66</f>
        <v>0.85470085470085477</v>
      </c>
      <c r="J143" s="111">
        <f>+I143*(1+Tiempos!$C$17)</f>
        <v>0.8995726495726496</v>
      </c>
      <c r="K143" s="146">
        <f>+J143*G143</f>
        <v>224.17556482265826</v>
      </c>
      <c r="L143" s="103">
        <f>+K143/Tiempos!$B$11</f>
        <v>0.48733818439708315</v>
      </c>
      <c r="M143" s="237"/>
      <c r="N143" s="237"/>
      <c r="O143" s="237"/>
      <c r="P143" s="237"/>
      <c r="Q143" s="262">
        <f>+K143/Tiempos!$B$12</f>
        <v>0.24366909219854158</v>
      </c>
    </row>
    <row r="144" spans="1:17" ht="13.5" x14ac:dyDescent="0.35">
      <c r="A144" s="199"/>
      <c r="B144" s="75"/>
      <c r="E144" s="104"/>
      <c r="F144" s="75"/>
      <c r="G144" s="152"/>
      <c r="H144" s="105"/>
      <c r="I144" s="109"/>
      <c r="J144" s="107"/>
      <c r="K144" s="82" t="s">
        <v>40</v>
      </c>
      <c r="L144" s="86">
        <f>SUM(L139:L143)</f>
        <v>1.5353589499430105</v>
      </c>
      <c r="M144" s="236"/>
      <c r="N144" s="236"/>
      <c r="O144" s="236"/>
      <c r="P144" s="236"/>
      <c r="Q144" s="261">
        <f>SUM(Q139:Q143)</f>
        <v>0.76767947497150524</v>
      </c>
    </row>
    <row r="145" spans="1:17" ht="13.9" x14ac:dyDescent="0.4">
      <c r="B145" s="213"/>
      <c r="E145" s="104"/>
      <c r="F145" s="75"/>
      <c r="G145" s="152"/>
      <c r="H145" s="105"/>
      <c r="I145" s="109"/>
      <c r="J145" s="107"/>
      <c r="K145" s="82"/>
      <c r="L145" s="195"/>
      <c r="M145" s="195"/>
      <c r="N145" s="195"/>
      <c r="O145" s="195"/>
      <c r="P145" s="195"/>
      <c r="Q145" s="195"/>
    </row>
    <row r="146" spans="1:17" ht="13.15" x14ac:dyDescent="0.4">
      <c r="A146" s="84" t="s">
        <v>1005</v>
      </c>
      <c r="B146" s="84"/>
      <c r="C146" s="70"/>
      <c r="D146" s="70"/>
      <c r="E146" s="94"/>
      <c r="F146" s="80"/>
      <c r="G146" s="154"/>
      <c r="H146" s="80"/>
      <c r="I146" s="80"/>
      <c r="J146" s="80"/>
      <c r="K146" s="168"/>
      <c r="L146" s="80"/>
    </row>
    <row r="147" spans="1:17" x14ac:dyDescent="0.35">
      <c r="A147" s="92"/>
      <c r="B147" s="92">
        <v>2</v>
      </c>
      <c r="C147" s="100">
        <v>1</v>
      </c>
      <c r="D147" s="100" t="s">
        <v>69</v>
      </c>
      <c r="E147" s="101" t="s">
        <v>484</v>
      </c>
      <c r="F147" s="92" t="str">
        <f>+Volumenes!D43</f>
        <v>CHA_MUL_3D</v>
      </c>
      <c r="G147" s="144">
        <f>VLOOKUP(F147,Volumenes!$D$19:$G$346,4,FALSE)</f>
        <v>45.667827824349573</v>
      </c>
      <c r="H147" s="102">
        <f>+Tiempos!E95</f>
        <v>43</v>
      </c>
      <c r="I147" s="103">
        <f>+Tiempos!F95</f>
        <v>0.36752136752136749</v>
      </c>
      <c r="J147" s="111">
        <f>+I147*(1+Tiempos!$C$17)</f>
        <v>0.38681623931623926</v>
      </c>
      <c r="K147" s="146">
        <f t="shared" ref="K147:K151" si="12">+J147*G147</f>
        <v>17.665057416756415</v>
      </c>
      <c r="L147" s="103">
        <f>+K147/Tiempos!$B$11</f>
        <v>3.8402298732079163E-2</v>
      </c>
      <c r="M147" s="243"/>
      <c r="N147" s="243"/>
      <c r="O147" s="243"/>
      <c r="P147" s="243"/>
      <c r="Q147" s="262">
        <f>+K147/Tiempos!$B$12</f>
        <v>1.9201149366039581E-2</v>
      </c>
    </row>
    <row r="148" spans="1:17" x14ac:dyDescent="0.35">
      <c r="A148" s="81"/>
      <c r="B148" s="81">
        <v>2</v>
      </c>
      <c r="C148" s="83">
        <v>1</v>
      </c>
      <c r="D148" s="83" t="s">
        <v>69</v>
      </c>
      <c r="E148" s="99" t="s">
        <v>625</v>
      </c>
      <c r="F148" s="81" t="str">
        <f>+F147</f>
        <v>CHA_MUL_3D</v>
      </c>
      <c r="G148" s="143">
        <f>VLOOKUP(F148,Volumenes!$D$19:$G$346,4,FALSE)</f>
        <v>45.667827824349573</v>
      </c>
      <c r="H148" s="97"/>
      <c r="I148" s="98">
        <v>0.15</v>
      </c>
      <c r="J148" s="110">
        <f>+I148*(1+Tiempos!$C$17)</f>
        <v>0.15787499999999999</v>
      </c>
      <c r="K148" s="123">
        <f t="shared" si="12"/>
        <v>7.2098083177691885</v>
      </c>
      <c r="L148" s="98">
        <f>+K148/Tiempos!$B$11</f>
        <v>1.5673496342976496E-2</v>
      </c>
      <c r="M148" s="238"/>
      <c r="N148" s="238"/>
      <c r="O148" s="238"/>
      <c r="P148" s="238"/>
      <c r="Q148" s="261">
        <f>+K148/Tiempos!$B$12</f>
        <v>7.8367481714882482E-3</v>
      </c>
    </row>
    <row r="149" spans="1:17" x14ac:dyDescent="0.35">
      <c r="A149" s="81"/>
      <c r="B149" s="81">
        <v>2</v>
      </c>
      <c r="C149" s="83">
        <v>1</v>
      </c>
      <c r="D149" s="83" t="s">
        <v>69</v>
      </c>
      <c r="E149" s="99" t="s">
        <v>482</v>
      </c>
      <c r="F149" s="81" t="str">
        <f>+F148</f>
        <v>CHA_MUL_3D</v>
      </c>
      <c r="G149" s="143">
        <f>VLOOKUP(F149,Volumenes!$D$19:$G$346,4,FALSE)</f>
        <v>45.667827824349573</v>
      </c>
      <c r="H149" s="97"/>
      <c r="I149" s="98">
        <f>20/60</f>
        <v>0.33333333333333331</v>
      </c>
      <c r="J149" s="110">
        <f>+I149*(1+Tiempos!$C$17)</f>
        <v>0.35083333333333333</v>
      </c>
      <c r="K149" s="123">
        <f t="shared" si="12"/>
        <v>16.021796261709309</v>
      </c>
      <c r="L149" s="98">
        <f>+K149/Tiempos!$B$11</f>
        <v>3.4829991873281105E-2</v>
      </c>
      <c r="M149" s="238"/>
      <c r="N149" s="238"/>
      <c r="O149" s="238"/>
      <c r="P149" s="238"/>
      <c r="Q149" s="261">
        <f>+K149/Tiempos!$B$12</f>
        <v>1.7414995936640552E-2</v>
      </c>
    </row>
    <row r="150" spans="1:17" x14ac:dyDescent="0.35">
      <c r="A150" s="92"/>
      <c r="B150" s="92">
        <v>2</v>
      </c>
      <c r="C150" s="100">
        <v>1</v>
      </c>
      <c r="D150" s="100" t="s">
        <v>69</v>
      </c>
      <c r="E150" s="101" t="s">
        <v>483</v>
      </c>
      <c r="F150" s="92" t="str">
        <f>+F149</f>
        <v>CHA_MUL_3D</v>
      </c>
      <c r="G150" s="144">
        <f>VLOOKUP(F150,Volumenes!$D$19:$G$346,4,FALSE)</f>
        <v>45.667827824349573</v>
      </c>
      <c r="H150" s="102">
        <f>+Tiempos!E95</f>
        <v>43</v>
      </c>
      <c r="I150" s="103">
        <f>+Tiempos!F95</f>
        <v>0.36752136752136749</v>
      </c>
      <c r="J150" s="111">
        <f>+I150*(1+Tiempos!$C$17)</f>
        <v>0.38681623931623926</v>
      </c>
      <c r="K150" s="146">
        <f t="shared" si="12"/>
        <v>17.665057416756415</v>
      </c>
      <c r="L150" s="103">
        <f>+K150/Tiempos!$B$11</f>
        <v>3.8402298732079163E-2</v>
      </c>
      <c r="M150" s="243"/>
      <c r="N150" s="243"/>
      <c r="O150" s="243"/>
      <c r="P150" s="243"/>
      <c r="Q150" s="262">
        <f>+K150/Tiempos!$B$12</f>
        <v>1.9201149366039581E-2</v>
      </c>
    </row>
    <row r="151" spans="1:17" x14ac:dyDescent="0.35">
      <c r="A151" s="81"/>
      <c r="B151" s="81">
        <v>2</v>
      </c>
      <c r="C151" s="83">
        <v>1</v>
      </c>
      <c r="D151" s="83" t="s">
        <v>69</v>
      </c>
      <c r="E151" s="99" t="s">
        <v>486</v>
      </c>
      <c r="F151" s="81" t="str">
        <f>+F150</f>
        <v>CHA_MUL_3D</v>
      </c>
      <c r="G151" s="143">
        <f>VLOOKUP(F151,Volumenes!$D$19:$G$346,4,FALSE)</f>
        <v>45.667827824349573</v>
      </c>
      <c r="H151" s="97"/>
      <c r="I151" s="98">
        <f>40/60</f>
        <v>0.66666666666666663</v>
      </c>
      <c r="J151" s="110">
        <f>+I151*(1+Tiempos!$C$17)</f>
        <v>0.70166666666666666</v>
      </c>
      <c r="K151" s="123">
        <f t="shared" si="12"/>
        <v>32.043592523418617</v>
      </c>
      <c r="L151" s="98">
        <f>+K151/Tiempos!$B$11</f>
        <v>6.965998374656221E-2</v>
      </c>
      <c r="M151" s="238"/>
      <c r="N151" s="238"/>
      <c r="O151" s="238"/>
      <c r="P151" s="238"/>
      <c r="Q151" s="261">
        <f>+K151/Tiempos!$B$12</f>
        <v>3.4829991873281105E-2</v>
      </c>
    </row>
    <row r="152" spans="1:17" ht="13.5" x14ac:dyDescent="0.35">
      <c r="A152" s="75"/>
      <c r="B152" s="75"/>
      <c r="E152" s="104"/>
      <c r="F152" s="75"/>
      <c r="G152" s="152"/>
      <c r="H152" s="105"/>
      <c r="I152" s="109"/>
      <c r="J152" s="107"/>
      <c r="K152" s="82" t="s">
        <v>40</v>
      </c>
      <c r="L152" s="98">
        <f>SUM(L147:L151)</f>
        <v>0.19696806942697812</v>
      </c>
      <c r="M152" s="246"/>
      <c r="N152" s="246"/>
      <c r="O152" s="246"/>
      <c r="P152" s="246"/>
      <c r="Q152" s="261">
        <f>SUM(Q147:Q151)</f>
        <v>9.8484034713489058E-2</v>
      </c>
    </row>
    <row r="153" spans="1:17" ht="13.5" x14ac:dyDescent="0.35">
      <c r="A153" s="75"/>
      <c r="B153" s="75"/>
      <c r="E153" s="104"/>
      <c r="F153" s="75"/>
      <c r="G153" s="152"/>
      <c r="H153" s="105"/>
      <c r="I153" s="109"/>
      <c r="J153" s="107"/>
      <c r="K153" s="82"/>
      <c r="L153" s="109"/>
      <c r="M153" s="191"/>
      <c r="N153" s="191"/>
      <c r="O153" s="191"/>
      <c r="P153" s="191"/>
      <c r="Q153" s="64"/>
    </row>
    <row r="154" spans="1:17" ht="13.15" x14ac:dyDescent="0.4">
      <c r="A154" s="84" t="s">
        <v>999</v>
      </c>
      <c r="B154" s="84"/>
      <c r="C154" s="70"/>
      <c r="D154" s="70"/>
      <c r="E154" s="94"/>
      <c r="F154" s="80"/>
      <c r="G154" s="154"/>
      <c r="H154" s="80"/>
      <c r="I154" s="80"/>
      <c r="J154" s="80"/>
      <c r="K154" s="168"/>
      <c r="L154" s="80"/>
    </row>
    <row r="155" spans="1:17" x14ac:dyDescent="0.35">
      <c r="A155" s="92"/>
      <c r="B155" s="92">
        <v>2</v>
      </c>
      <c r="C155" s="100">
        <v>1</v>
      </c>
      <c r="D155" s="100" t="s">
        <v>69</v>
      </c>
      <c r="E155" s="101" t="s">
        <v>808</v>
      </c>
      <c r="F155" s="393" t="str">
        <f>+Volumenes!D205</f>
        <v>ARM_ALM</v>
      </c>
      <c r="G155" s="144">
        <f>VLOOKUP(F155,Volumenes!$D$19:$G$346,4,FALSE)</f>
        <v>1</v>
      </c>
      <c r="H155" s="102">
        <v>50</v>
      </c>
      <c r="I155" s="103">
        <f>(H155/Tiempos!B29)/60</f>
        <v>0.42735042735042739</v>
      </c>
      <c r="J155" s="111">
        <f>+I155*(1+Tiempos!$C$17)</f>
        <v>0.4497863247863248</v>
      </c>
      <c r="K155" s="146">
        <f t="shared" ref="K155:K160" si="13">+J155*G155</f>
        <v>0.4497863247863248</v>
      </c>
      <c r="L155" s="103">
        <f>+K155/Tiempos!$B$11</f>
        <v>9.7779635823114089E-4</v>
      </c>
      <c r="M155" s="262">
        <f>+K155/Tiempos!$B$12</f>
        <v>4.8889817911557045E-4</v>
      </c>
      <c r="N155" s="243"/>
      <c r="O155" s="243"/>
      <c r="P155" s="243"/>
      <c r="Q155" s="262"/>
    </row>
    <row r="156" spans="1:17" x14ac:dyDescent="0.35">
      <c r="A156" s="81"/>
      <c r="B156" s="81">
        <v>2</v>
      </c>
      <c r="C156" s="83">
        <v>1</v>
      </c>
      <c r="D156" s="83" t="s">
        <v>69</v>
      </c>
      <c r="E156" s="99" t="s">
        <v>812</v>
      </c>
      <c r="F156" s="391" t="str">
        <f>+F155</f>
        <v>ARM_ALM</v>
      </c>
      <c r="G156" s="143">
        <f>VLOOKUP(F156,Volumenes!$D$19:$G$346,4,FALSE)</f>
        <v>1</v>
      </c>
      <c r="H156" s="97"/>
      <c r="I156" s="98">
        <f>8/60</f>
        <v>0.13333333333333333</v>
      </c>
      <c r="J156" s="110">
        <f>+I156*(1+Tiempos!$C$17)</f>
        <v>0.14033333333333334</v>
      </c>
      <c r="K156" s="123">
        <f t="shared" si="13"/>
        <v>0.14033333333333334</v>
      </c>
      <c r="L156" s="98">
        <f>+K156/Tiempos!$B$11</f>
        <v>3.0507246376811596E-4</v>
      </c>
      <c r="M156" s="261">
        <f>+K156/Tiempos!$B$12</f>
        <v>1.5253623188405798E-4</v>
      </c>
      <c r="N156" s="238"/>
      <c r="O156" s="238"/>
      <c r="P156" s="238"/>
      <c r="Q156" s="261"/>
    </row>
    <row r="157" spans="1:17" x14ac:dyDescent="0.35">
      <c r="A157" s="81"/>
      <c r="B157" s="81">
        <v>2</v>
      </c>
      <c r="C157" s="83">
        <v>1</v>
      </c>
      <c r="D157" s="83" t="s">
        <v>69</v>
      </c>
      <c r="E157" s="99" t="s">
        <v>897</v>
      </c>
      <c r="F157" s="391" t="str">
        <f>+F156</f>
        <v>ARM_ALM</v>
      </c>
      <c r="G157" s="143">
        <f>VLOOKUP(F157,Volumenes!$D$19:$G$346,4,FALSE)</f>
        <v>1</v>
      </c>
      <c r="H157" s="97"/>
      <c r="I157" s="98">
        <f>15/60</f>
        <v>0.25</v>
      </c>
      <c r="J157" s="110">
        <f>+I157*(1+Tiempos!$C$17)</f>
        <v>0.263125</v>
      </c>
      <c r="K157" s="123">
        <f t="shared" si="13"/>
        <v>0.263125</v>
      </c>
      <c r="L157" s="98">
        <f>+K157/Tiempos!$B$11</f>
        <v>5.7201086956521743E-4</v>
      </c>
      <c r="M157" s="261">
        <f>+K157/Tiempos!$B$12</f>
        <v>2.8600543478260872E-4</v>
      </c>
      <c r="N157" s="238"/>
      <c r="O157" s="238"/>
      <c r="P157" s="238"/>
      <c r="Q157" s="261"/>
    </row>
    <row r="158" spans="1:17" x14ac:dyDescent="0.35">
      <c r="A158" s="92"/>
      <c r="B158" s="92">
        <v>2</v>
      </c>
      <c r="C158" s="100">
        <v>1</v>
      </c>
      <c r="D158" s="100" t="s">
        <v>69</v>
      </c>
      <c r="E158" s="101" t="s">
        <v>809</v>
      </c>
      <c r="F158" s="393" t="str">
        <f>+F157</f>
        <v>ARM_ALM</v>
      </c>
      <c r="G158" s="144">
        <f>VLOOKUP(F158,Volumenes!$D$19:$G$346,4,FALSE)</f>
        <v>1</v>
      </c>
      <c r="H158" s="102">
        <f>VLOOKUP(F158,Tiempos!$D$42:$F$113,2,FALSE)</f>
        <v>55</v>
      </c>
      <c r="I158" s="103">
        <f>VLOOKUP(F158,Tiempos!$D$41:$F$229,3,FALSE)</f>
        <v>0.47008547008547008</v>
      </c>
      <c r="J158" s="111">
        <f>+I158*(1+Tiempos!$C$17)</f>
        <v>0.49476495726495728</v>
      </c>
      <c r="K158" s="146">
        <f t="shared" si="13"/>
        <v>0.49476495726495728</v>
      </c>
      <c r="L158" s="103">
        <f>+K158/Tiempos!$B$11</f>
        <v>1.075575994054255E-3</v>
      </c>
      <c r="M158" s="262">
        <f>+K158/Tiempos!$B$12</f>
        <v>5.3778799702712749E-4</v>
      </c>
      <c r="N158" s="243"/>
      <c r="O158" s="243"/>
      <c r="P158" s="243"/>
      <c r="Q158" s="262"/>
    </row>
    <row r="159" spans="1:17" x14ac:dyDescent="0.35">
      <c r="A159" s="81"/>
      <c r="B159" s="81">
        <v>2</v>
      </c>
      <c r="C159" s="83">
        <v>1</v>
      </c>
      <c r="D159" s="83" t="s">
        <v>69</v>
      </c>
      <c r="E159" s="99" t="s">
        <v>810</v>
      </c>
      <c r="F159" s="391" t="str">
        <f>+F158</f>
        <v>ARM_ALM</v>
      </c>
      <c r="G159" s="143">
        <f>VLOOKUP(F159,Volumenes!$D$19:$G$346,4,FALSE)</f>
        <v>1</v>
      </c>
      <c r="H159" s="97"/>
      <c r="I159" s="98">
        <f>25/60</f>
        <v>0.41666666666666669</v>
      </c>
      <c r="J159" s="110">
        <f>+I159*(1+Tiempos!$C$17)</f>
        <v>0.43854166666666666</v>
      </c>
      <c r="K159" s="123">
        <f t="shared" si="13"/>
        <v>0.43854166666666666</v>
      </c>
      <c r="L159" s="98">
        <f>+K159/Tiempos!$B$11</f>
        <v>9.5335144927536232E-4</v>
      </c>
      <c r="M159" s="261">
        <f>+K159/Tiempos!$B$12</f>
        <v>4.7667572463768116E-4</v>
      </c>
      <c r="N159" s="238"/>
      <c r="O159" s="238"/>
      <c r="P159" s="238"/>
      <c r="Q159" s="261"/>
    </row>
    <row r="160" spans="1:17" x14ac:dyDescent="0.35">
      <c r="A160" s="92"/>
      <c r="B160" s="92">
        <v>2</v>
      </c>
      <c r="C160" s="100">
        <v>1</v>
      </c>
      <c r="D160" s="100" t="s">
        <v>69</v>
      </c>
      <c r="E160" s="101" t="s">
        <v>811</v>
      </c>
      <c r="F160" s="393" t="str">
        <f>+F159</f>
        <v>ARM_ALM</v>
      </c>
      <c r="G160" s="144">
        <f>VLOOKUP(F160,Volumenes!$D$19:$G$346,4,FALSE)</f>
        <v>1</v>
      </c>
      <c r="H160" s="102"/>
      <c r="I160" s="103">
        <f>40/60</f>
        <v>0.66666666666666663</v>
      </c>
      <c r="J160" s="111">
        <f>+I160*(1+Tiempos!$C$17)</f>
        <v>0.70166666666666666</v>
      </c>
      <c r="K160" s="146">
        <f t="shared" si="13"/>
        <v>0.70166666666666666</v>
      </c>
      <c r="L160" s="103">
        <f>+K160/Tiempos!$B$11</f>
        <v>1.5253623188405797E-3</v>
      </c>
      <c r="M160" s="262">
        <f>+K160/Tiempos!$B$12</f>
        <v>7.6268115942028987E-4</v>
      </c>
      <c r="N160" s="243"/>
      <c r="O160" s="243"/>
      <c r="P160" s="243"/>
      <c r="Q160" s="262"/>
    </row>
    <row r="161" spans="1:17" ht="13.5" x14ac:dyDescent="0.35">
      <c r="A161" s="75"/>
      <c r="B161" s="75"/>
      <c r="E161" s="104"/>
      <c r="F161" s="75"/>
      <c r="G161" s="152"/>
      <c r="H161" s="105"/>
      <c r="I161" s="109"/>
      <c r="J161" s="107"/>
      <c r="K161" s="82" t="s">
        <v>40</v>
      </c>
      <c r="L161" s="98">
        <f>SUM(L155:L160)</f>
        <v>5.4091694537346715E-3</v>
      </c>
      <c r="M161" s="434">
        <f>SUM(M155:M160)</f>
        <v>2.7045847268673357E-3</v>
      </c>
      <c r="N161" s="246"/>
      <c r="O161" s="246"/>
      <c r="P161" s="246"/>
      <c r="Q161" s="261"/>
    </row>
    <row r="162" spans="1:17" ht="13.5" x14ac:dyDescent="0.35">
      <c r="A162" s="75"/>
      <c r="B162" s="75"/>
      <c r="E162" s="104"/>
      <c r="F162" s="75"/>
      <c r="G162" s="152"/>
      <c r="H162" s="105"/>
      <c r="I162" s="109"/>
      <c r="J162" s="107"/>
      <c r="K162" s="82"/>
      <c r="L162" s="195"/>
      <c r="M162" s="191"/>
      <c r="Q162" s="312"/>
    </row>
    <row r="163" spans="1:17" ht="17.649999999999999" x14ac:dyDescent="0.35">
      <c r="A163" s="79" t="s">
        <v>185</v>
      </c>
      <c r="B163" s="79"/>
      <c r="C163" s="70"/>
      <c r="D163" s="70"/>
      <c r="E163" s="94"/>
      <c r="F163" s="80"/>
      <c r="G163" s="154"/>
      <c r="H163" s="80"/>
      <c r="I163" s="80"/>
      <c r="J163" s="80"/>
      <c r="K163" s="80"/>
      <c r="L163" s="80"/>
      <c r="M163" s="191"/>
      <c r="Q163" s="312"/>
    </row>
    <row r="164" spans="1:17" ht="13.15" x14ac:dyDescent="0.35">
      <c r="A164" s="205" t="s">
        <v>524</v>
      </c>
      <c r="B164" s="205"/>
      <c r="C164" s="70"/>
      <c r="D164" s="70"/>
      <c r="E164" s="94"/>
      <c r="F164" s="80"/>
      <c r="G164" s="154"/>
      <c r="H164" s="80"/>
      <c r="I164" s="80"/>
      <c r="J164" s="80"/>
      <c r="K164" s="168"/>
      <c r="L164" s="80"/>
      <c r="Q164" s="312"/>
    </row>
    <row r="165" spans="1:17" x14ac:dyDescent="0.35">
      <c r="A165" s="81"/>
      <c r="B165" s="81">
        <v>2</v>
      </c>
      <c r="C165" s="83">
        <v>1</v>
      </c>
      <c r="D165" s="83" t="s">
        <v>334</v>
      </c>
      <c r="E165" s="99" t="s">
        <v>286</v>
      </c>
      <c r="F165" s="81" t="str">
        <f>+Volumenes!D99</f>
        <v>DES_PAL_PIC</v>
      </c>
      <c r="G165" s="143">
        <f>VLOOKUP(F165,Volumenes!$D$20:$F$246,3,FALSE)</f>
        <v>16.0596</v>
      </c>
      <c r="H165" s="97"/>
      <c r="I165" s="98">
        <f>10/60</f>
        <v>0.16666666666666666</v>
      </c>
      <c r="J165" s="110">
        <f>+I165*(1+Tiempos!$C$17)</f>
        <v>0.17541666666666667</v>
      </c>
      <c r="K165" s="123">
        <f t="shared" ref="K165:K174" si="14">+J165*G165</f>
        <v>2.8171214999999998</v>
      </c>
      <c r="L165" s="98">
        <f>+K165/Tiempos!$B$11</f>
        <v>6.1241771739130434E-3</v>
      </c>
      <c r="M165" s="238"/>
      <c r="N165" s="238"/>
      <c r="O165" s="238"/>
      <c r="P165" s="238"/>
      <c r="Q165" s="261">
        <f>IF($D165=Tiempos!$A$35,"",IF($B165=Tiempos!$A$36,L165,L165/2))</f>
        <v>3.0620885869565217E-3</v>
      </c>
    </row>
    <row r="166" spans="1:17" x14ac:dyDescent="0.35">
      <c r="A166" s="92"/>
      <c r="B166" s="92">
        <v>2</v>
      </c>
      <c r="C166" s="100">
        <v>1</v>
      </c>
      <c r="D166" s="100" t="s">
        <v>334</v>
      </c>
      <c r="E166" s="101" t="s">
        <v>493</v>
      </c>
      <c r="F166" s="92" t="str">
        <f t="shared" ref="F166:F175" si="15">+F165</f>
        <v>DES_PAL_PIC</v>
      </c>
      <c r="G166" s="144">
        <f>VLOOKUP(F166,Volumenes!$D$20:$F$184,3,FALSE)</f>
        <v>16.0596</v>
      </c>
      <c r="H166" s="102">
        <f>VLOOKUP(F166,Tiempos!$D$42:$F$113,2,FALSE)</f>
        <v>40</v>
      </c>
      <c r="I166" s="103">
        <f>VLOOKUP(F166,Tiempos!$D$42:$F$111,3,FALSE)</f>
        <v>0.34188034188034189</v>
      </c>
      <c r="J166" s="111">
        <f>+I166*(1+Tiempos!$C$17)</f>
        <v>0.35982905982905983</v>
      </c>
      <c r="K166" s="146">
        <f t="shared" si="14"/>
        <v>5.7787107692307691</v>
      </c>
      <c r="L166" s="103">
        <f>+K166/Tiempos!$B$11</f>
        <v>1.2562414715719063E-2</v>
      </c>
      <c r="M166" s="243"/>
      <c r="N166" s="243"/>
      <c r="O166" s="243"/>
      <c r="P166" s="243"/>
      <c r="Q166" s="262">
        <f>IF($D166=Tiempos!$A$35,"",IF($B166=Tiempos!$A$36,L166,L166/2))</f>
        <v>6.2812073578595315E-3</v>
      </c>
    </row>
    <row r="167" spans="1:17" x14ac:dyDescent="0.35">
      <c r="A167" s="81"/>
      <c r="B167" s="81">
        <v>2</v>
      </c>
      <c r="C167" s="83">
        <v>1</v>
      </c>
      <c r="D167" s="83" t="s">
        <v>334</v>
      </c>
      <c r="E167" s="99" t="s">
        <v>270</v>
      </c>
      <c r="F167" s="81" t="str">
        <f t="shared" si="15"/>
        <v>DES_PAL_PIC</v>
      </c>
      <c r="G167" s="143">
        <f>VLOOKUP(F167,Volumenes!$D$20:$F$184,3,FALSE)</f>
        <v>16.0596</v>
      </c>
      <c r="H167" s="97"/>
      <c r="I167" s="98">
        <f>20/60</f>
        <v>0.33333333333333331</v>
      </c>
      <c r="J167" s="110">
        <f>+I167*(1+Tiempos!$C$17)</f>
        <v>0.35083333333333333</v>
      </c>
      <c r="K167" s="123">
        <f t="shared" si="14"/>
        <v>5.6342429999999997</v>
      </c>
      <c r="L167" s="98">
        <f>+K167/Tiempos!$B$11</f>
        <v>1.2248354347826087E-2</v>
      </c>
      <c r="M167" s="238"/>
      <c r="N167" s="238"/>
      <c r="O167" s="238"/>
      <c r="P167" s="238"/>
      <c r="Q167" s="261">
        <f>IF($D167=Tiempos!$A$35,"",IF($B167=Tiempos!$A$36,L167,L167/2))</f>
        <v>6.1241771739130434E-3</v>
      </c>
    </row>
    <row r="168" spans="1:17" x14ac:dyDescent="0.35">
      <c r="A168" s="81"/>
      <c r="B168" s="81">
        <v>2</v>
      </c>
      <c r="C168" s="83">
        <v>1</v>
      </c>
      <c r="D168" s="83" t="s">
        <v>334</v>
      </c>
      <c r="E168" s="99" t="s">
        <v>268</v>
      </c>
      <c r="F168" s="81" t="str">
        <f t="shared" si="15"/>
        <v>DES_PAL_PIC</v>
      </c>
      <c r="G168" s="143">
        <f>VLOOKUP(F168,Volumenes!$D$20:$F$184,3,FALSE)</f>
        <v>16.0596</v>
      </c>
      <c r="H168" s="97"/>
      <c r="I168" s="98">
        <f>5/60</f>
        <v>8.3333333333333329E-2</v>
      </c>
      <c r="J168" s="110">
        <f>+I168*(1+Tiempos!$C$17)</f>
        <v>8.7708333333333333E-2</v>
      </c>
      <c r="K168" s="123">
        <f t="shared" si="14"/>
        <v>1.4085607499999999</v>
      </c>
      <c r="L168" s="98">
        <f>+K168/Tiempos!$B$11</f>
        <v>3.0620885869565217E-3</v>
      </c>
      <c r="M168" s="238"/>
      <c r="N168" s="238"/>
      <c r="O168" s="238"/>
      <c r="P168" s="238"/>
      <c r="Q168" s="261">
        <f>IF($D168=Tiempos!$A$35,"",IF($B168=Tiempos!$A$36,L168,L168/2))</f>
        <v>1.5310442934782609E-3</v>
      </c>
    </row>
    <row r="169" spans="1:17" x14ac:dyDescent="0.35">
      <c r="A169" s="92"/>
      <c r="B169" s="92">
        <v>2</v>
      </c>
      <c r="C169" s="100">
        <v>1</v>
      </c>
      <c r="D169" s="100" t="s">
        <v>334</v>
      </c>
      <c r="E169" s="101" t="s">
        <v>493</v>
      </c>
      <c r="F169" s="92" t="str">
        <f t="shared" si="15"/>
        <v>DES_PAL_PIC</v>
      </c>
      <c r="G169" s="144">
        <f>VLOOKUP(F169,Volumenes!$D$20:$F$184,3,FALSE)</f>
        <v>16.0596</v>
      </c>
      <c r="H169" s="102">
        <f>VLOOKUP(F169,Tiempos!$D$42:$F$113,2,FALSE)</f>
        <v>40</v>
      </c>
      <c r="I169" s="103">
        <f>VLOOKUP(F169,Tiempos!$D$42:$F$111,3,FALSE)</f>
        <v>0.34188034188034189</v>
      </c>
      <c r="J169" s="111">
        <f>+I169*(1+Tiempos!$C$17)</f>
        <v>0.35982905982905983</v>
      </c>
      <c r="K169" s="146">
        <f t="shared" si="14"/>
        <v>5.7787107692307691</v>
      </c>
      <c r="L169" s="103">
        <f>+K169/Tiempos!$B$11</f>
        <v>1.2562414715719063E-2</v>
      </c>
      <c r="M169" s="243"/>
      <c r="N169" s="243"/>
      <c r="O169" s="243"/>
      <c r="P169" s="243"/>
      <c r="Q169" s="262">
        <f>IF($D169=Tiempos!$A$35,"",IF($B169=Tiempos!$A$36,L169,L169/2))</f>
        <v>6.2812073578595315E-3</v>
      </c>
    </row>
    <row r="170" spans="1:17" x14ac:dyDescent="0.35">
      <c r="A170" s="81"/>
      <c r="B170" s="81">
        <v>2</v>
      </c>
      <c r="C170" s="83">
        <v>1</v>
      </c>
      <c r="D170" s="83" t="s">
        <v>334</v>
      </c>
      <c r="E170" s="99" t="s">
        <v>271</v>
      </c>
      <c r="F170" s="81" t="str">
        <f t="shared" si="15"/>
        <v>DES_PAL_PIC</v>
      </c>
      <c r="G170" s="143">
        <f>VLOOKUP(F170,Volumenes!$D$20:$F$184,3,FALSE)</f>
        <v>16.0596</v>
      </c>
      <c r="H170" s="97"/>
      <c r="I170" s="98">
        <f>10/60</f>
        <v>0.16666666666666666</v>
      </c>
      <c r="J170" s="110">
        <f>+I170*(1+Tiempos!$C$17)</f>
        <v>0.17541666666666667</v>
      </c>
      <c r="K170" s="123">
        <f t="shared" si="14"/>
        <v>2.8171214999999998</v>
      </c>
      <c r="L170" s="98">
        <f>+K170/Tiempos!$B$11</f>
        <v>6.1241771739130434E-3</v>
      </c>
      <c r="M170" s="238"/>
      <c r="N170" s="238"/>
      <c r="O170" s="238"/>
      <c r="P170" s="238"/>
      <c r="Q170" s="261">
        <f>IF($D170=Tiempos!$A$35,"",IF($B170=Tiempos!$A$36,L170,L170/2))</f>
        <v>3.0620885869565217E-3</v>
      </c>
    </row>
    <row r="171" spans="1:17" x14ac:dyDescent="0.35">
      <c r="A171" s="81"/>
      <c r="B171" s="81">
        <v>2</v>
      </c>
      <c r="C171" s="83">
        <v>1</v>
      </c>
      <c r="D171" s="83" t="s">
        <v>334</v>
      </c>
      <c r="E171" s="99" t="s">
        <v>272</v>
      </c>
      <c r="F171" s="81" t="str">
        <f t="shared" si="15"/>
        <v>DES_PAL_PIC</v>
      </c>
      <c r="G171" s="143">
        <f>VLOOKUP(F171,Volumenes!$D$20:$F$184,3,FALSE)</f>
        <v>16.0596</v>
      </c>
      <c r="H171" s="97"/>
      <c r="I171" s="98">
        <f>5/60</f>
        <v>8.3333333333333329E-2</v>
      </c>
      <c r="J171" s="110">
        <f>+I171*(1+Tiempos!$C$17)</f>
        <v>8.7708333333333333E-2</v>
      </c>
      <c r="K171" s="123">
        <f t="shared" si="14"/>
        <v>1.4085607499999999</v>
      </c>
      <c r="L171" s="98">
        <f>+K171/Tiempos!$B$11</f>
        <v>3.0620885869565217E-3</v>
      </c>
      <c r="M171" s="238"/>
      <c r="N171" s="238"/>
      <c r="O171" s="238"/>
      <c r="P171" s="238"/>
      <c r="Q171" s="261">
        <f>IF($D171=Tiempos!$A$35,"",IF($B171=Tiempos!$A$36,L171,L171/2))</f>
        <v>1.5310442934782609E-3</v>
      </c>
    </row>
    <row r="172" spans="1:17" x14ac:dyDescent="0.35">
      <c r="A172" s="81"/>
      <c r="B172" s="81">
        <v>2</v>
      </c>
      <c r="C172" s="83">
        <v>1</v>
      </c>
      <c r="D172" s="83" t="s">
        <v>334</v>
      </c>
      <c r="E172" s="99" t="s">
        <v>273</v>
      </c>
      <c r="F172" s="81" t="str">
        <f t="shared" si="15"/>
        <v>DES_PAL_PIC</v>
      </c>
      <c r="G172" s="143">
        <f>VLOOKUP(F172,Volumenes!$D$20:$F$184,3,FALSE)</f>
        <v>16.0596</v>
      </c>
      <c r="H172" s="97"/>
      <c r="I172" s="98">
        <f>18/60</f>
        <v>0.3</v>
      </c>
      <c r="J172" s="110">
        <f>+I172*(1+Tiempos!$C$17)</f>
        <v>0.31574999999999998</v>
      </c>
      <c r="K172" s="123">
        <f t="shared" si="14"/>
        <v>5.0708186999999993</v>
      </c>
      <c r="L172" s="98">
        <f>+K172/Tiempos!$B$11</f>
        <v>1.1023518913043477E-2</v>
      </c>
      <c r="M172" s="238"/>
      <c r="N172" s="238"/>
      <c r="O172" s="238"/>
      <c r="P172" s="238"/>
      <c r="Q172" s="261">
        <f>IF($D172=Tiempos!$A$35,"",IF($B172=Tiempos!$A$36,L172,L172/2))</f>
        <v>5.5117594565217386E-3</v>
      </c>
    </row>
    <row r="173" spans="1:17" x14ac:dyDescent="0.35">
      <c r="A173" s="81"/>
      <c r="B173" s="81">
        <v>2</v>
      </c>
      <c r="C173" s="83">
        <v>1</v>
      </c>
      <c r="D173" s="83" t="s">
        <v>334</v>
      </c>
      <c r="E173" s="99" t="s">
        <v>267</v>
      </c>
      <c r="F173" s="81" t="str">
        <f t="shared" si="15"/>
        <v>DES_PAL_PIC</v>
      </c>
      <c r="G173" s="143">
        <f>VLOOKUP(F173,Volumenes!$D$20:$F$184,3,FALSE)</f>
        <v>16.0596</v>
      </c>
      <c r="H173" s="97"/>
      <c r="I173" s="98">
        <f>5/60</f>
        <v>8.3333333333333329E-2</v>
      </c>
      <c r="J173" s="110">
        <f>+I173*(1+Tiempos!$C$17)</f>
        <v>8.7708333333333333E-2</v>
      </c>
      <c r="K173" s="123">
        <f t="shared" si="14"/>
        <v>1.4085607499999999</v>
      </c>
      <c r="L173" s="98">
        <f>+K173/Tiempos!$B$11</f>
        <v>3.0620885869565217E-3</v>
      </c>
      <c r="M173" s="238"/>
      <c r="N173" s="238"/>
      <c r="O173" s="238"/>
      <c r="P173" s="238"/>
      <c r="Q173" s="261">
        <f>IF($D173=Tiempos!$A$35,"",IF($B173=Tiempos!$A$36,L173,L173/2))</f>
        <v>1.5310442934782609E-3</v>
      </c>
    </row>
    <row r="174" spans="1:17" x14ac:dyDescent="0.35">
      <c r="A174" s="81"/>
      <c r="B174" s="81">
        <v>2</v>
      </c>
      <c r="C174" s="83">
        <v>1</v>
      </c>
      <c r="D174" s="83" t="s">
        <v>334</v>
      </c>
      <c r="E174" s="99" t="s">
        <v>287</v>
      </c>
      <c r="F174" s="81" t="str">
        <f t="shared" si="15"/>
        <v>DES_PAL_PIC</v>
      </c>
      <c r="G174" s="143">
        <f>VLOOKUP(F174,Volumenes!$D$20:$F$184,3,FALSE)</f>
        <v>16.0596</v>
      </c>
      <c r="H174" s="97"/>
      <c r="I174" s="98">
        <f>18/60</f>
        <v>0.3</v>
      </c>
      <c r="J174" s="110">
        <f>+I174*(1+Tiempos!$C$17)</f>
        <v>0.31574999999999998</v>
      </c>
      <c r="K174" s="123">
        <f t="shared" si="14"/>
        <v>5.0708186999999993</v>
      </c>
      <c r="L174" s="98">
        <f>+K174/Tiempos!$B$11</f>
        <v>1.1023518913043477E-2</v>
      </c>
      <c r="M174" s="238"/>
      <c r="N174" s="238"/>
      <c r="O174" s="238"/>
      <c r="P174" s="238"/>
      <c r="Q174" s="261">
        <f>IF($D174=Tiempos!$A$35,"",IF($B174=Tiempos!$A$36,L174,L174/2))</f>
        <v>5.5117594565217386E-3</v>
      </c>
    </row>
    <row r="175" spans="1:17" x14ac:dyDescent="0.35">
      <c r="A175" s="92"/>
      <c r="B175" s="92">
        <v>2</v>
      </c>
      <c r="C175" s="100">
        <v>1</v>
      </c>
      <c r="D175" s="100" t="s">
        <v>334</v>
      </c>
      <c r="E175" s="101" t="s">
        <v>269</v>
      </c>
      <c r="F175" s="92" t="str">
        <f t="shared" si="15"/>
        <v>DES_PAL_PIC</v>
      </c>
      <c r="G175" s="144">
        <f>VLOOKUP(F175,Volumenes!$D$20:$F$184,3,FALSE)</f>
        <v>16.0596</v>
      </c>
      <c r="H175" s="102">
        <f>+Tiempos!E78</f>
        <v>120</v>
      </c>
      <c r="I175" s="103">
        <f>+Tiempos!F78</f>
        <v>1.0256410256410258</v>
      </c>
      <c r="J175" s="111">
        <f>+I175*(1+Tiempos!$C$17)</f>
        <v>1.0794871794871796</v>
      </c>
      <c r="K175" s="146">
        <f>+J175*G175</f>
        <v>17.33613230769231</v>
      </c>
      <c r="L175" s="103">
        <f>+K175/Tiempos!$B$11</f>
        <v>3.7687244147157198E-2</v>
      </c>
      <c r="M175" s="243"/>
      <c r="N175" s="243"/>
      <c r="O175" s="243"/>
      <c r="P175" s="243"/>
      <c r="Q175" s="262">
        <f>IF($D175=Tiempos!$A$35,"",IF($B175=Tiempos!$A$36,L175,L175/2))</f>
        <v>1.8843622073578599E-2</v>
      </c>
    </row>
    <row r="176" spans="1:17" x14ac:dyDescent="0.35">
      <c r="A176" s="75"/>
      <c r="B176" s="75"/>
      <c r="E176" s="104"/>
      <c r="F176" s="75"/>
      <c r="G176" s="152"/>
      <c r="H176" s="105"/>
      <c r="I176" s="109"/>
      <c r="J176" s="107"/>
      <c r="K176" s="162"/>
      <c r="L176" s="98">
        <f>SUM(L165:L175)</f>
        <v>0.118542085861204</v>
      </c>
      <c r="M176" s="98"/>
      <c r="N176" s="98"/>
      <c r="O176" s="98"/>
      <c r="P176" s="98"/>
      <c r="Q176" s="98">
        <f>SUM(Q165:Q175)</f>
        <v>5.9271042930602001E-2</v>
      </c>
    </row>
    <row r="177" spans="1:17" x14ac:dyDescent="0.35">
      <c r="A177" s="75"/>
      <c r="B177" s="75"/>
      <c r="E177" s="104"/>
      <c r="F177" s="75"/>
      <c r="G177" s="152"/>
      <c r="H177" s="109"/>
      <c r="J177" s="107"/>
      <c r="K177" s="162"/>
      <c r="L177" s="109"/>
      <c r="M177" s="109"/>
      <c r="N177" s="109"/>
      <c r="O177" s="109"/>
      <c r="P177" s="109"/>
      <c r="Q177" s="109"/>
    </row>
    <row r="178" spans="1:17" ht="13.15" x14ac:dyDescent="0.35">
      <c r="A178" s="205" t="s">
        <v>1070</v>
      </c>
      <c r="B178" s="205"/>
      <c r="C178" s="70"/>
      <c r="D178" s="70"/>
      <c r="E178" s="94"/>
      <c r="F178" s="80"/>
      <c r="G178" s="154"/>
      <c r="H178" s="80"/>
      <c r="I178" s="80"/>
      <c r="J178" s="80"/>
      <c r="K178" s="80"/>
      <c r="L178" s="80"/>
    </row>
    <row r="179" spans="1:17" x14ac:dyDescent="0.35">
      <c r="A179" s="92"/>
      <c r="B179" s="92">
        <v>2</v>
      </c>
      <c r="C179" s="100">
        <v>1</v>
      </c>
      <c r="D179" s="100" t="s">
        <v>69</v>
      </c>
      <c r="E179" s="101" t="s">
        <v>498</v>
      </c>
      <c r="F179" s="92" t="str">
        <f>+Volumenes!D102</f>
        <v>VIA_DES</v>
      </c>
      <c r="G179" s="144">
        <f>VLOOKUP(F179,Volumenes!$D$19:$G$346,4,FALSE)</f>
        <v>6</v>
      </c>
      <c r="H179" s="102">
        <f>VLOOKUP(F179,Tiempos!$D$42:$F$113,2,FALSE)*2</f>
        <v>116</v>
      </c>
      <c r="I179" s="103">
        <f>+(H179/Tiempos!$B$28)/60</f>
        <v>1.3134057971014492</v>
      </c>
      <c r="J179" s="111">
        <f>+I179*(1+Tiempos!$C$17)</f>
        <v>1.3823596014492754</v>
      </c>
      <c r="K179" s="146">
        <f>+J179*G179</f>
        <v>8.2941576086956523</v>
      </c>
      <c r="L179" s="103">
        <f>+K179/Tiempos!$B$11</f>
        <v>1.8030777410207938E-2</v>
      </c>
      <c r="M179" s="243"/>
      <c r="N179" s="243"/>
      <c r="O179" s="243"/>
      <c r="P179" s="243"/>
      <c r="Q179" s="262">
        <f>+K179/Tiempos!$B$12</f>
        <v>9.0153887051039692E-3</v>
      </c>
    </row>
    <row r="180" spans="1:17" x14ac:dyDescent="0.35">
      <c r="A180" s="81"/>
      <c r="B180" s="81">
        <v>2</v>
      </c>
      <c r="C180" s="83">
        <v>1</v>
      </c>
      <c r="D180" s="83" t="s">
        <v>69</v>
      </c>
      <c r="E180" s="99" t="s">
        <v>497</v>
      </c>
      <c r="F180" s="81" t="str">
        <f>+Volumenes!D102</f>
        <v>VIA_DES</v>
      </c>
      <c r="G180" s="143">
        <f>VLOOKUP(F180,Volumenes!$D$19:$G$346,4,FALSE)</f>
        <v>6</v>
      </c>
      <c r="H180" s="97"/>
      <c r="I180" s="98">
        <f>10/60</f>
        <v>0.16666666666666666</v>
      </c>
      <c r="J180" s="110">
        <f>+I180*(1+Tiempos!$C$17)</f>
        <v>0.17541666666666667</v>
      </c>
      <c r="K180" s="123">
        <f>+J180*G180</f>
        <v>1.0525</v>
      </c>
      <c r="L180" s="98">
        <f>+K180/Tiempos!$B$11</f>
        <v>2.2880434782608697E-3</v>
      </c>
      <c r="M180" s="238"/>
      <c r="N180" s="238"/>
      <c r="O180" s="238"/>
      <c r="P180" s="238"/>
      <c r="Q180" s="261">
        <f>+K180/Tiempos!$B$12</f>
        <v>1.1440217391304349E-3</v>
      </c>
    </row>
    <row r="181" spans="1:17" x14ac:dyDescent="0.35">
      <c r="A181" s="81"/>
      <c r="B181" s="81">
        <v>2</v>
      </c>
      <c r="C181" s="83">
        <v>1</v>
      </c>
      <c r="D181" s="83" t="s">
        <v>69</v>
      </c>
      <c r="E181" s="99" t="s">
        <v>499</v>
      </c>
      <c r="F181" s="81" t="str">
        <f>+F180</f>
        <v>VIA_DES</v>
      </c>
      <c r="G181" s="143">
        <f>VLOOKUP(F181,Volumenes!$D$19:$G$346,4,FALSE)</f>
        <v>6</v>
      </c>
      <c r="H181" s="97"/>
      <c r="I181" s="98">
        <f>15/60</f>
        <v>0.25</v>
      </c>
      <c r="J181" s="110">
        <f>+I181*(1+Tiempos!$C$17)</f>
        <v>0.263125</v>
      </c>
      <c r="K181" s="123">
        <f t="shared" ref="K181:K196" si="16">+J181*G181</f>
        <v>1.5787499999999999</v>
      </c>
      <c r="L181" s="98">
        <f>+K181/Tiempos!$B$11</f>
        <v>3.4320652173913039E-3</v>
      </c>
      <c r="M181" s="238"/>
      <c r="N181" s="238"/>
      <c r="O181" s="238"/>
      <c r="P181" s="238"/>
      <c r="Q181" s="261">
        <f>+K181/Tiempos!$B$12</f>
        <v>1.716032608695652E-3</v>
      </c>
    </row>
    <row r="182" spans="1:17" x14ac:dyDescent="0.35">
      <c r="A182" s="92"/>
      <c r="B182" s="92">
        <v>2</v>
      </c>
      <c r="C182" s="100">
        <v>1</v>
      </c>
      <c r="D182" s="100" t="s">
        <v>69</v>
      </c>
      <c r="E182" s="101" t="s">
        <v>500</v>
      </c>
      <c r="F182" s="92" t="str">
        <f>+Volumenes!D98</f>
        <v>CAJ_DES</v>
      </c>
      <c r="G182" s="144">
        <f>VLOOKUP(F182,Volumenes!$D$19:$G$346,4,FALSE)</f>
        <v>193.54603174603173</v>
      </c>
      <c r="H182" s="102">
        <f>VLOOKUP(F182,Tiempos!$D$42:$F$113,2,FALSE)</f>
        <v>50</v>
      </c>
      <c r="I182" s="103">
        <f>+(H182/Tiempos!$B$28)/60</f>
        <v>0.56612318840579712</v>
      </c>
      <c r="J182" s="111">
        <f>+I182*(1+Tiempos!$C$17)</f>
        <v>0.59584465579710144</v>
      </c>
      <c r="K182" s="146">
        <f t="shared" si="16"/>
        <v>115.32336866660914</v>
      </c>
      <c r="L182" s="103">
        <f>+K182/Tiempos!$B$11</f>
        <v>0.25070297536219377</v>
      </c>
      <c r="M182" s="243"/>
      <c r="N182" s="243"/>
      <c r="O182" s="243"/>
      <c r="P182" s="243"/>
      <c r="Q182" s="262">
        <f>+K182/Tiempos!$B$12</f>
        <v>0.12535148768109688</v>
      </c>
    </row>
    <row r="183" spans="1:17" x14ac:dyDescent="0.35">
      <c r="A183" s="81"/>
      <c r="B183" s="81">
        <v>2</v>
      </c>
      <c r="C183" s="83">
        <v>1</v>
      </c>
      <c r="D183" s="83" t="s">
        <v>69</v>
      </c>
      <c r="E183" s="99" t="s">
        <v>501</v>
      </c>
      <c r="F183" s="81" t="str">
        <f>+Volumenes!D101</f>
        <v>CAJ_DES_AIRE</v>
      </c>
      <c r="G183" s="143">
        <f>VLOOKUP(F183,Volumenes!$D$19:$G$346,4,FALSE)</f>
        <v>109.93414603174602</v>
      </c>
      <c r="H183" s="97"/>
      <c r="I183" s="98">
        <f>15/60</f>
        <v>0.25</v>
      </c>
      <c r="J183" s="110">
        <f>+I183*(1+Tiempos!$C$17)</f>
        <v>0.263125</v>
      </c>
      <c r="K183" s="123">
        <f t="shared" si="16"/>
        <v>28.926422174603172</v>
      </c>
      <c r="L183" s="98">
        <f>+K183/Tiempos!$B$11</f>
        <v>6.288352646652863E-2</v>
      </c>
      <c r="M183" s="238"/>
      <c r="N183" s="238"/>
      <c r="O183" s="238"/>
      <c r="P183" s="238"/>
      <c r="Q183" s="261">
        <f>+K183/Tiempos!$B$12</f>
        <v>3.1441763233264315E-2</v>
      </c>
    </row>
    <row r="184" spans="1:17" x14ac:dyDescent="0.35">
      <c r="A184" s="81"/>
      <c r="B184" s="81">
        <v>2</v>
      </c>
      <c r="C184" s="83">
        <v>1</v>
      </c>
      <c r="D184" s="83" t="s">
        <v>69</v>
      </c>
      <c r="E184" s="99" t="s">
        <v>502</v>
      </c>
      <c r="F184" s="81" t="str">
        <f>+F183</f>
        <v>CAJ_DES_AIRE</v>
      </c>
      <c r="G184" s="143">
        <f>VLOOKUP(F184,Volumenes!$D$19:$G$346,4,FALSE)</f>
        <v>109.93414603174602</v>
      </c>
      <c r="H184" s="97"/>
      <c r="I184" s="98">
        <f>30/60</f>
        <v>0.5</v>
      </c>
      <c r="J184" s="110">
        <f>+I184*(1+Tiempos!$C$17)</f>
        <v>0.52625</v>
      </c>
      <c r="K184" s="123">
        <f t="shared" si="16"/>
        <v>57.852844349206343</v>
      </c>
      <c r="L184" s="98">
        <f>+K184/Tiempos!$B$11</f>
        <v>0.12576705293305726</v>
      </c>
      <c r="M184" s="238"/>
      <c r="N184" s="238"/>
      <c r="O184" s="238"/>
      <c r="P184" s="238"/>
      <c r="Q184" s="261">
        <f>+K184/Tiempos!$B$12</f>
        <v>6.288352646652863E-2</v>
      </c>
    </row>
    <row r="185" spans="1:17" x14ac:dyDescent="0.35">
      <c r="A185" s="81"/>
      <c r="B185" s="81">
        <v>2</v>
      </c>
      <c r="C185" s="83">
        <v>1</v>
      </c>
      <c r="D185" s="83" t="s">
        <v>69</v>
      </c>
      <c r="E185" s="99" t="s">
        <v>503</v>
      </c>
      <c r="F185" s="81" t="str">
        <f>+F184</f>
        <v>CAJ_DES_AIRE</v>
      </c>
      <c r="G185" s="143">
        <f>VLOOKUP(F185,Volumenes!$D$19:$G$346,4,FALSE)</f>
        <v>109.93414603174602</v>
      </c>
      <c r="H185" s="97"/>
      <c r="I185" s="98">
        <f>18/60</f>
        <v>0.3</v>
      </c>
      <c r="J185" s="110">
        <f>+I185*(1+Tiempos!$C$17)</f>
        <v>0.31574999999999998</v>
      </c>
      <c r="K185" s="123">
        <f t="shared" si="16"/>
        <v>34.711706609523802</v>
      </c>
      <c r="L185" s="98">
        <f>+K185/Tiempos!$B$11</f>
        <v>7.5460231759834351E-2</v>
      </c>
      <c r="M185" s="238"/>
      <c r="N185" s="238"/>
      <c r="O185" s="238"/>
      <c r="P185" s="238"/>
      <c r="Q185" s="261">
        <f>+K185/Tiempos!$B$12</f>
        <v>3.7730115879917175E-2</v>
      </c>
    </row>
    <row r="186" spans="1:17" x14ac:dyDescent="0.35">
      <c r="A186" s="81"/>
      <c r="B186" s="81">
        <v>2</v>
      </c>
      <c r="C186" s="83">
        <v>1</v>
      </c>
      <c r="D186" s="83" t="s">
        <v>69</v>
      </c>
      <c r="E186" s="99" t="s">
        <v>505</v>
      </c>
      <c r="F186" s="81" t="str">
        <f>+F185</f>
        <v>CAJ_DES_AIRE</v>
      </c>
      <c r="G186" s="143">
        <f>VLOOKUP(F186,Volumenes!$D$19:$G$346,4,FALSE)</f>
        <v>109.93414603174602</v>
      </c>
      <c r="H186" s="97"/>
      <c r="I186" s="98">
        <f>10/60</f>
        <v>0.16666666666666666</v>
      </c>
      <c r="J186" s="110">
        <f>+I186*(1+Tiempos!$C$17)</f>
        <v>0.17541666666666667</v>
      </c>
      <c r="K186" s="123">
        <f t="shared" si="16"/>
        <v>19.284281449735449</v>
      </c>
      <c r="L186" s="98">
        <f>+K186/Tiempos!$B$11</f>
        <v>4.1922350977685756E-2</v>
      </c>
      <c r="M186" s="238"/>
      <c r="N186" s="238"/>
      <c r="O186" s="238"/>
      <c r="P186" s="238"/>
      <c r="Q186" s="261">
        <f>+K186/Tiempos!$B$12</f>
        <v>2.0961175488842878E-2</v>
      </c>
    </row>
    <row r="187" spans="1:17" x14ac:dyDescent="0.35">
      <c r="A187" s="81"/>
      <c r="B187" s="81">
        <v>2</v>
      </c>
      <c r="C187" s="83">
        <v>1</v>
      </c>
      <c r="D187" s="83" t="s">
        <v>69</v>
      </c>
      <c r="E187" s="99" t="s">
        <v>504</v>
      </c>
      <c r="F187" s="81" t="str">
        <f>+F186</f>
        <v>CAJ_DES_AIRE</v>
      </c>
      <c r="G187" s="143">
        <f>VLOOKUP(F187,Volumenes!$D$19:$G$346,4,FALSE)</f>
        <v>109.93414603174602</v>
      </c>
      <c r="H187" s="97"/>
      <c r="I187" s="98">
        <f>40/60</f>
        <v>0.66666666666666663</v>
      </c>
      <c r="J187" s="110">
        <f>+I187*(1+Tiempos!$C$17)</f>
        <v>0.70166666666666666</v>
      </c>
      <c r="K187" s="123">
        <f t="shared" si="16"/>
        <v>77.137125798941796</v>
      </c>
      <c r="L187" s="98">
        <f>+K187/Tiempos!$B$11</f>
        <v>0.16768940391074302</v>
      </c>
      <c r="M187" s="238"/>
      <c r="N187" s="238"/>
      <c r="O187" s="238"/>
      <c r="P187" s="238"/>
      <c r="Q187" s="261">
        <f>+K187/Tiempos!$B$12</f>
        <v>8.3844701955371512E-2</v>
      </c>
    </row>
    <row r="188" spans="1:17" x14ac:dyDescent="0.35">
      <c r="A188" s="81"/>
      <c r="B188" s="81">
        <v>2</v>
      </c>
      <c r="C188" s="83">
        <v>1</v>
      </c>
      <c r="D188" s="83" t="s">
        <v>69</v>
      </c>
      <c r="E188" s="99" t="s">
        <v>506</v>
      </c>
      <c r="F188" s="81" t="str">
        <f>+F187</f>
        <v>CAJ_DES_AIRE</v>
      </c>
      <c r="G188" s="143">
        <f>VLOOKUP(F188,Volumenes!$D$19:$G$346,4,FALSE)</f>
        <v>109.93414603174602</v>
      </c>
      <c r="H188" s="97"/>
      <c r="I188" s="98">
        <f>15/60</f>
        <v>0.25</v>
      </c>
      <c r="J188" s="110">
        <f>+I188*(1+Tiempos!$C$17)</f>
        <v>0.263125</v>
      </c>
      <c r="K188" s="123">
        <f t="shared" si="16"/>
        <v>28.926422174603172</v>
      </c>
      <c r="L188" s="98">
        <f>+K188/Tiempos!$B$11</f>
        <v>6.288352646652863E-2</v>
      </c>
      <c r="M188" s="238"/>
      <c r="N188" s="238"/>
      <c r="O188" s="238"/>
      <c r="P188" s="238"/>
      <c r="Q188" s="261">
        <f>+K188/Tiempos!$B$12</f>
        <v>3.1441763233264315E-2</v>
      </c>
    </row>
    <row r="189" spans="1:17" x14ac:dyDescent="0.35">
      <c r="A189" s="81"/>
      <c r="B189" s="81">
        <v>2</v>
      </c>
      <c r="C189" s="83">
        <v>1</v>
      </c>
      <c r="D189" s="83" t="s">
        <v>69</v>
      </c>
      <c r="E189" s="99" t="s">
        <v>507</v>
      </c>
      <c r="F189" s="81" t="str">
        <f>+Volumenes!D100</f>
        <v>CAJ_DES_PICK</v>
      </c>
      <c r="G189" s="143">
        <f>VLOOKUP(F189,Volumenes!$D$19:$G$346,4,FALSE)</f>
        <v>83.611885714285705</v>
      </c>
      <c r="H189" s="97"/>
      <c r="I189" s="98">
        <f>18/60</f>
        <v>0.3</v>
      </c>
      <c r="J189" s="110">
        <f>+I189*(1+Tiempos!$C$17)</f>
        <v>0.31574999999999998</v>
      </c>
      <c r="K189" s="123">
        <f t="shared" si="16"/>
        <v>26.400452914285708</v>
      </c>
      <c r="L189" s="98">
        <f>+K189/Tiempos!$B$11</f>
        <v>5.7392288944099368E-2</v>
      </c>
      <c r="M189" s="238"/>
      <c r="N189" s="238"/>
      <c r="O189" s="238"/>
      <c r="P189" s="238"/>
      <c r="Q189" s="261">
        <f>+K189/Tiempos!$B$12</f>
        <v>2.8696144472049684E-2</v>
      </c>
    </row>
    <row r="190" spans="1:17" x14ac:dyDescent="0.35">
      <c r="A190" s="81"/>
      <c r="B190" s="81">
        <v>2</v>
      </c>
      <c r="C190" s="83">
        <v>1</v>
      </c>
      <c r="D190" s="83" t="s">
        <v>69</v>
      </c>
      <c r="E190" s="99" t="s">
        <v>508</v>
      </c>
      <c r="F190" s="81" t="str">
        <f>+F189</f>
        <v>CAJ_DES_PICK</v>
      </c>
      <c r="G190" s="143">
        <f>VLOOKUP(F190,Volumenes!$D$19:$G$346,4,FALSE)</f>
        <v>83.611885714285705</v>
      </c>
      <c r="H190" s="97"/>
      <c r="I190" s="98">
        <f>10/60</f>
        <v>0.16666666666666666</v>
      </c>
      <c r="J190" s="110">
        <f>+I190*(1+Tiempos!$C$17)</f>
        <v>0.17541666666666667</v>
      </c>
      <c r="K190" s="123">
        <f t="shared" si="16"/>
        <v>14.666918285714283</v>
      </c>
      <c r="L190" s="98">
        <f>+K190/Tiempos!$B$11</f>
        <v>3.1884604968944096E-2</v>
      </c>
      <c r="M190" s="238"/>
      <c r="N190" s="238"/>
      <c r="O190" s="238"/>
      <c r="P190" s="238"/>
      <c r="Q190" s="261">
        <f>+K190/Tiempos!$B$12</f>
        <v>1.5942302484472048E-2</v>
      </c>
    </row>
    <row r="191" spans="1:17" x14ac:dyDescent="0.35">
      <c r="A191" s="81"/>
      <c r="B191" s="81">
        <v>2</v>
      </c>
      <c r="C191" s="83">
        <v>1</v>
      </c>
      <c r="D191" s="83" t="s">
        <v>69</v>
      </c>
      <c r="E191" s="99" t="s">
        <v>506</v>
      </c>
      <c r="F191" s="81" t="str">
        <f>+F190</f>
        <v>CAJ_DES_PICK</v>
      </c>
      <c r="G191" s="143">
        <f>VLOOKUP(F191,Volumenes!$D$19:$G$346,4,FALSE)</f>
        <v>83.611885714285705</v>
      </c>
      <c r="H191" s="97"/>
      <c r="I191" s="98">
        <f>10/60</f>
        <v>0.16666666666666666</v>
      </c>
      <c r="J191" s="110">
        <f>+I191*(1+Tiempos!$C$17)</f>
        <v>0.17541666666666667</v>
      </c>
      <c r="K191" s="123">
        <f t="shared" si="16"/>
        <v>14.666918285714283</v>
      </c>
      <c r="L191" s="98">
        <f>+K191/Tiempos!$B$11</f>
        <v>3.1884604968944096E-2</v>
      </c>
      <c r="M191" s="238"/>
      <c r="N191" s="238"/>
      <c r="O191" s="238"/>
      <c r="P191" s="238"/>
      <c r="Q191" s="261">
        <f>+K191/Tiempos!$B$12</f>
        <v>1.5942302484472048E-2</v>
      </c>
    </row>
    <row r="192" spans="1:17" x14ac:dyDescent="0.35">
      <c r="A192" s="92"/>
      <c r="B192" s="92">
        <v>2</v>
      </c>
      <c r="C192" s="100">
        <v>1</v>
      </c>
      <c r="D192" s="100" t="s">
        <v>69</v>
      </c>
      <c r="E192" s="101" t="s">
        <v>510</v>
      </c>
      <c r="F192" s="92" t="str">
        <f>+Volumenes!D102</f>
        <v>VIA_DES</v>
      </c>
      <c r="G192" s="144">
        <f>VLOOKUP(F192,Volumenes!$D$19:$G$346,4,FALSE)</f>
        <v>6</v>
      </c>
      <c r="H192" s="102">
        <f>VLOOKUP(F192,Tiempos!$D$42:$F$113,2,FALSE)*2</f>
        <v>116</v>
      </c>
      <c r="I192" s="103">
        <f>+(H192/Tiempos!$B$28)/60</f>
        <v>1.3134057971014492</v>
      </c>
      <c r="J192" s="111">
        <f>+I192*(1+Tiempos!$C$17)</f>
        <v>1.3823596014492754</v>
      </c>
      <c r="K192" s="146">
        <f t="shared" si="16"/>
        <v>8.2941576086956523</v>
      </c>
      <c r="L192" s="103">
        <f>+K192/Tiempos!$B$11</f>
        <v>1.8030777410207938E-2</v>
      </c>
      <c r="M192" s="243"/>
      <c r="N192" s="243"/>
      <c r="O192" s="243"/>
      <c r="P192" s="243"/>
      <c r="Q192" s="262">
        <f>+K192/Tiempos!$B$12</f>
        <v>9.0153887051039692E-3</v>
      </c>
    </row>
    <row r="193" spans="1:17" x14ac:dyDescent="0.35">
      <c r="A193" s="81"/>
      <c r="B193" s="81">
        <v>2</v>
      </c>
      <c r="C193" s="83">
        <v>1</v>
      </c>
      <c r="D193" s="83" t="s">
        <v>69</v>
      </c>
      <c r="E193" s="99" t="s">
        <v>509</v>
      </c>
      <c r="F193" s="81" t="str">
        <f>+F192</f>
        <v>VIA_DES</v>
      </c>
      <c r="G193" s="143">
        <f>VLOOKUP(F193,Volumenes!$D$19:$G$346,4,FALSE)</f>
        <v>6</v>
      </c>
      <c r="H193" s="97"/>
      <c r="I193" s="98">
        <f>15/60</f>
        <v>0.25</v>
      </c>
      <c r="J193" s="110">
        <f>+I193*(1+Tiempos!$C$17)</f>
        <v>0.263125</v>
      </c>
      <c r="K193" s="123">
        <f t="shared" si="16"/>
        <v>1.5787499999999999</v>
      </c>
      <c r="L193" s="98">
        <f>+K193/Tiempos!$B$11</f>
        <v>3.4320652173913039E-3</v>
      </c>
      <c r="M193" s="238"/>
      <c r="N193" s="238"/>
      <c r="O193" s="238"/>
      <c r="P193" s="238"/>
      <c r="Q193" s="261">
        <f>+K193/Tiempos!$B$12</f>
        <v>1.716032608695652E-3</v>
      </c>
    </row>
    <row r="194" spans="1:17" x14ac:dyDescent="0.35">
      <c r="A194" s="81"/>
      <c r="B194" s="81">
        <v>2</v>
      </c>
      <c r="C194" s="83">
        <v>1</v>
      </c>
      <c r="D194" s="83" t="s">
        <v>69</v>
      </c>
      <c r="E194" s="99" t="s">
        <v>864</v>
      </c>
      <c r="F194" s="391" t="str">
        <f>+Volumenes!D209</f>
        <v>CAJ_SAT_1</v>
      </c>
      <c r="G194" s="143">
        <f>VLOOKUP(F194,Volumenes!$D$19:$G$346,4,FALSE)</f>
        <v>3</v>
      </c>
      <c r="H194" s="97"/>
      <c r="I194" s="98">
        <f>15/60</f>
        <v>0.25</v>
      </c>
      <c r="J194" s="110">
        <f>+I194*(1+Tiempos!$C$17)</f>
        <v>0.263125</v>
      </c>
      <c r="K194" s="123">
        <f t="shared" si="16"/>
        <v>0.78937499999999994</v>
      </c>
      <c r="L194" s="98">
        <f>+K194/Tiempos!$B$11</f>
        <v>1.716032608695652E-3</v>
      </c>
      <c r="M194" s="238"/>
      <c r="N194" s="238"/>
      <c r="O194" s="238"/>
      <c r="P194" s="238"/>
      <c r="Q194" s="261">
        <f>+K194/Tiempos!$B$12</f>
        <v>8.5801630434782599E-4</v>
      </c>
    </row>
    <row r="195" spans="1:17" x14ac:dyDescent="0.35">
      <c r="A195" s="92"/>
      <c r="B195" s="92">
        <v>2</v>
      </c>
      <c r="C195" s="100">
        <v>1</v>
      </c>
      <c r="D195" s="100" t="s">
        <v>69</v>
      </c>
      <c r="E195" s="101" t="s">
        <v>865</v>
      </c>
      <c r="F195" s="92" t="str">
        <f>+F194</f>
        <v>CAJ_SAT_1</v>
      </c>
      <c r="G195" s="144">
        <f>VLOOKUP(F195,Volumenes!$D$19:$G$346,4,FALSE)</f>
        <v>3</v>
      </c>
      <c r="H195" s="102">
        <f>VLOOKUP(F195,Tiempos!$D$42:$F$183,2,FALSE)</f>
        <v>116</v>
      </c>
      <c r="I195" s="103">
        <f>+(H195/Tiempos!$B$28)/60</f>
        <v>1.3134057971014492</v>
      </c>
      <c r="J195" s="111">
        <f>+I195*(1+Tiempos!$C$17)</f>
        <v>1.3823596014492754</v>
      </c>
      <c r="K195" s="146">
        <f t="shared" si="16"/>
        <v>4.1470788043478262</v>
      </c>
      <c r="L195" s="103">
        <f>+K195/Tiempos!$B$11</f>
        <v>9.0153887051039692E-3</v>
      </c>
      <c r="M195" s="243"/>
      <c r="N195" s="243"/>
      <c r="O195" s="243"/>
      <c r="P195" s="243"/>
      <c r="Q195" s="262">
        <f>+K195/Tiempos!$B$12</f>
        <v>4.5076943525519846E-3</v>
      </c>
    </row>
    <row r="196" spans="1:17" x14ac:dyDescent="0.35">
      <c r="A196" s="81"/>
      <c r="B196" s="81">
        <v>2</v>
      </c>
      <c r="C196" s="83">
        <v>1</v>
      </c>
      <c r="D196" s="83" t="s">
        <v>69</v>
      </c>
      <c r="E196" s="99" t="s">
        <v>866</v>
      </c>
      <c r="F196" s="81" t="str">
        <f>+F195</f>
        <v>CAJ_SAT_1</v>
      </c>
      <c r="G196" s="143">
        <f>VLOOKUP(F196,Volumenes!$D$19:$G$346,4,FALSE)</f>
        <v>3</v>
      </c>
      <c r="H196" s="97"/>
      <c r="I196" s="98">
        <f>15/60</f>
        <v>0.25</v>
      </c>
      <c r="J196" s="110">
        <f>+I196*(1+Tiempos!$C$17)</f>
        <v>0.263125</v>
      </c>
      <c r="K196" s="123">
        <f t="shared" si="16"/>
        <v>0.78937499999999994</v>
      </c>
      <c r="L196" s="98">
        <f>+K196/Tiempos!$B$11</f>
        <v>1.716032608695652E-3</v>
      </c>
      <c r="M196" s="238"/>
      <c r="N196" s="238"/>
      <c r="O196" s="238"/>
      <c r="P196" s="238"/>
      <c r="Q196" s="261">
        <f>+K196/Tiempos!$B$12</f>
        <v>8.5801630434782599E-4</v>
      </c>
    </row>
    <row r="197" spans="1:17" x14ac:dyDescent="0.35">
      <c r="A197" s="75"/>
      <c r="B197" s="75"/>
      <c r="E197" s="104"/>
      <c r="F197" s="75"/>
      <c r="G197" s="152"/>
      <c r="H197" s="105"/>
      <c r="I197" s="109"/>
      <c r="J197" s="107"/>
      <c r="K197" s="162"/>
      <c r="L197" s="98">
        <f>SUM(L179:L196)</f>
        <v>0.96613174941451363</v>
      </c>
      <c r="M197" s="98">
        <f>SUM(M179:M193)</f>
        <v>0</v>
      </c>
      <c r="N197" s="98">
        <f>SUM(N179:N193)</f>
        <v>0</v>
      </c>
      <c r="O197" s="98"/>
      <c r="P197" s="98">
        <f>SUM(P179:P193)</f>
        <v>0</v>
      </c>
      <c r="Q197" s="98">
        <f>SUM(Q179:Q193)</f>
        <v>0.47684214774600914</v>
      </c>
    </row>
    <row r="198" spans="1:17" x14ac:dyDescent="0.35">
      <c r="A198" s="75"/>
      <c r="B198" s="75"/>
      <c r="E198" s="104"/>
      <c r="F198" s="75"/>
      <c r="G198" s="152"/>
      <c r="H198" s="105"/>
      <c r="I198" s="109"/>
      <c r="J198" s="107"/>
      <c r="K198" s="162"/>
      <c r="L198" s="109"/>
      <c r="M198" s="109"/>
      <c r="N198" s="109"/>
      <c r="O198" s="109"/>
      <c r="P198" s="109"/>
      <c r="Q198" s="109"/>
    </row>
    <row r="199" spans="1:17" ht="17.649999999999999" x14ac:dyDescent="0.35">
      <c r="A199" s="205" t="s">
        <v>1071</v>
      </c>
      <c r="B199" s="212"/>
      <c r="C199" s="70"/>
      <c r="D199" s="70"/>
      <c r="E199" s="94"/>
      <c r="F199" s="80"/>
      <c r="G199" s="80"/>
      <c r="H199" s="80"/>
      <c r="I199" s="80"/>
      <c r="J199" s="80"/>
      <c r="K199" s="80"/>
      <c r="L199" s="80"/>
    </row>
    <row r="200" spans="1:17" x14ac:dyDescent="0.35">
      <c r="A200" s="81"/>
      <c r="B200" s="81">
        <v>2</v>
      </c>
      <c r="C200" s="83">
        <v>1</v>
      </c>
      <c r="D200" s="83" t="s">
        <v>69</v>
      </c>
      <c r="E200" s="99" t="s">
        <v>526</v>
      </c>
      <c r="F200" s="81" t="str">
        <f>+Volumenes!D44</f>
        <v>CHA_TERM</v>
      </c>
      <c r="G200" s="123">
        <f>VLOOKUP(F200,Volumenes!$D$19:$G$346,4,FALSE)</f>
        <v>68.501741736524352</v>
      </c>
      <c r="H200" s="97"/>
      <c r="I200" s="98">
        <f>2/60</f>
        <v>3.3333333333333333E-2</v>
      </c>
      <c r="J200" s="110">
        <f>+I200*(1+Tiempos!$C$17)</f>
        <v>3.5083333333333334E-2</v>
      </c>
      <c r="K200" s="98">
        <f t="shared" ref="K200:K206" si="17">+J200*G200</f>
        <v>2.403269439256396</v>
      </c>
      <c r="L200" s="98">
        <f>+K200/Tiempos!$B$11</f>
        <v>5.2244987809921652E-3</v>
      </c>
      <c r="M200" s="238"/>
      <c r="N200" s="238"/>
      <c r="O200" s="238"/>
      <c r="P200" s="238"/>
      <c r="Q200" s="261">
        <f>+K200/Tiempos!$B$12</f>
        <v>2.6122493904960826E-3</v>
      </c>
    </row>
    <row r="201" spans="1:17" x14ac:dyDescent="0.35">
      <c r="A201" s="92"/>
      <c r="B201" s="92">
        <v>2</v>
      </c>
      <c r="C201" s="100">
        <v>1</v>
      </c>
      <c r="D201" s="100" t="s">
        <v>69</v>
      </c>
      <c r="E201" s="101" t="s">
        <v>527</v>
      </c>
      <c r="F201" s="92" t="str">
        <f t="shared" ref="F201:F206" si="18">+F200</f>
        <v>CHA_TERM</v>
      </c>
      <c r="G201" s="146">
        <f>VLOOKUP(F201,Volumenes!$D$19:$G$346,4,FALSE)</f>
        <v>68.501741736524352</v>
      </c>
      <c r="H201" s="102">
        <f>+H182</f>
        <v>50</v>
      </c>
      <c r="I201" s="103">
        <f>+(H201/Tiempos!$B$28)/60</f>
        <v>0.56612318840579712</v>
      </c>
      <c r="J201" s="111">
        <f>+I201*(1+Tiempos!$C$17)</f>
        <v>0.59584465579710144</v>
      </c>
      <c r="K201" s="103">
        <f t="shared" si="17"/>
        <v>40.816396726501289</v>
      </c>
      <c r="L201" s="103">
        <f>+K201/Tiempos!$B$11</f>
        <v>8.8731297231524536E-2</v>
      </c>
      <c r="M201" s="243"/>
      <c r="N201" s="243"/>
      <c r="O201" s="243"/>
      <c r="P201" s="243"/>
      <c r="Q201" s="262">
        <f>+K201/Tiempos!$B$12</f>
        <v>4.4365648615762268E-2</v>
      </c>
    </row>
    <row r="202" spans="1:17" x14ac:dyDescent="0.35">
      <c r="A202" s="81"/>
      <c r="B202" s="81">
        <v>2</v>
      </c>
      <c r="C202" s="83">
        <v>1</v>
      </c>
      <c r="D202" s="83" t="s">
        <v>69</v>
      </c>
      <c r="E202" s="99" t="s">
        <v>528</v>
      </c>
      <c r="F202" s="81" t="str">
        <f t="shared" si="18"/>
        <v>CHA_TERM</v>
      </c>
      <c r="G202" s="123">
        <f>VLOOKUP(F202,Volumenes!$D$19:$G$346,4,FALSE)</f>
        <v>68.501741736524352</v>
      </c>
      <c r="H202" s="97"/>
      <c r="I202" s="98">
        <f>23/60</f>
        <v>0.38333333333333336</v>
      </c>
      <c r="J202" s="110">
        <f>+I202*(1+Tiempos!$C$17)</f>
        <v>0.40345833333333336</v>
      </c>
      <c r="K202" s="98">
        <f t="shared" si="17"/>
        <v>27.637598551448555</v>
      </c>
      <c r="L202" s="98">
        <f>+K202/Tiempos!$B$11</f>
        <v>6.0081735981409902E-2</v>
      </c>
      <c r="M202" s="238"/>
      <c r="N202" s="238"/>
      <c r="O202" s="238"/>
      <c r="P202" s="238"/>
      <c r="Q202" s="261">
        <f>+K202/Tiempos!$B$12</f>
        <v>3.0040867990704951E-2</v>
      </c>
    </row>
    <row r="203" spans="1:17" x14ac:dyDescent="0.35">
      <c r="A203" s="81"/>
      <c r="B203" s="81">
        <v>2</v>
      </c>
      <c r="C203" s="83">
        <v>1</v>
      </c>
      <c r="D203" s="83" t="s">
        <v>69</v>
      </c>
      <c r="E203" s="99" t="s">
        <v>529</v>
      </c>
      <c r="F203" s="81" t="str">
        <f t="shared" si="18"/>
        <v>CHA_TERM</v>
      </c>
      <c r="G203" s="123">
        <f>VLOOKUP(F203,Volumenes!$D$19:$G$346,4,FALSE)</f>
        <v>68.501741736524352</v>
      </c>
      <c r="H203" s="97"/>
      <c r="I203" s="98">
        <f>3/60</f>
        <v>0.05</v>
      </c>
      <c r="J203" s="110">
        <f>+I203*(1+Tiempos!$C$17)</f>
        <v>5.2625000000000005E-2</v>
      </c>
      <c r="K203" s="98">
        <f t="shared" si="17"/>
        <v>3.6049041588845943</v>
      </c>
      <c r="L203" s="98">
        <f>+K203/Tiempos!$B$11</f>
        <v>7.8367481714882482E-3</v>
      </c>
      <c r="M203" s="238"/>
      <c r="N203" s="238"/>
      <c r="O203" s="238"/>
      <c r="P203" s="238"/>
      <c r="Q203" s="261">
        <f>+K203/Tiempos!$B$12</f>
        <v>3.9183740857441241E-3</v>
      </c>
    </row>
    <row r="204" spans="1:17" x14ac:dyDescent="0.35">
      <c r="A204" s="92"/>
      <c r="B204" s="92">
        <v>2</v>
      </c>
      <c r="C204" s="100">
        <v>1</v>
      </c>
      <c r="D204" s="100" t="s">
        <v>69</v>
      </c>
      <c r="E204" s="101" t="s">
        <v>530</v>
      </c>
      <c r="F204" s="92" t="str">
        <f t="shared" si="18"/>
        <v>CHA_TERM</v>
      </c>
      <c r="G204" s="146">
        <f>VLOOKUP(F204,Volumenes!$D$19:$G$346,4,FALSE)</f>
        <v>68.501741736524352</v>
      </c>
      <c r="H204" s="102">
        <f>+Tiempos!E73</f>
        <v>58</v>
      </c>
      <c r="I204" s="103">
        <f>+(H204/Tiempos!$B$28)/60</f>
        <v>0.65670289855072461</v>
      </c>
      <c r="J204" s="111">
        <f>+I204*(1+Tiempos!$C$17)</f>
        <v>0.69117980072463769</v>
      </c>
      <c r="K204" s="103">
        <f t="shared" si="17"/>
        <v>47.347020202741497</v>
      </c>
      <c r="L204" s="103">
        <f>+K204/Tiempos!$B$11</f>
        <v>0.10292830478856847</v>
      </c>
      <c r="M204" s="243"/>
      <c r="N204" s="243"/>
      <c r="O204" s="243"/>
      <c r="P204" s="243"/>
      <c r="Q204" s="262">
        <f>+K204/Tiempos!$B$12</f>
        <v>5.1464152394284236E-2</v>
      </c>
    </row>
    <row r="205" spans="1:17" x14ac:dyDescent="0.35">
      <c r="A205" s="81"/>
      <c r="B205" s="81">
        <v>2</v>
      </c>
      <c r="C205" s="83">
        <v>1</v>
      </c>
      <c r="D205" s="83" t="s">
        <v>69</v>
      </c>
      <c r="E205" s="99" t="s">
        <v>531</v>
      </c>
      <c r="F205" s="81" t="str">
        <f t="shared" si="18"/>
        <v>CHA_TERM</v>
      </c>
      <c r="G205" s="123">
        <f>VLOOKUP(F205,Volumenes!$D$19:$G$346,4,FALSE)</f>
        <v>68.501741736524352</v>
      </c>
      <c r="H205" s="97"/>
      <c r="I205" s="98">
        <f>20/60</f>
        <v>0.33333333333333331</v>
      </c>
      <c r="J205" s="110">
        <f>+I205*(1+Tiempos!$C$17)</f>
        <v>0.35083333333333333</v>
      </c>
      <c r="K205" s="98">
        <f t="shared" si="17"/>
        <v>24.032694392563961</v>
      </c>
      <c r="L205" s="98">
        <f>+K205/Tiempos!$B$11</f>
        <v>5.2244987809921657E-2</v>
      </c>
      <c r="M205" s="238"/>
      <c r="N205" s="238"/>
      <c r="O205" s="238"/>
      <c r="P205" s="238"/>
      <c r="Q205" s="261">
        <f>+K205/Tiempos!$B$12</f>
        <v>2.6122493904960829E-2</v>
      </c>
    </row>
    <row r="206" spans="1:17" x14ac:dyDescent="0.35">
      <c r="A206" s="92"/>
      <c r="B206" s="92">
        <v>2</v>
      </c>
      <c r="C206" s="100">
        <v>1</v>
      </c>
      <c r="D206" s="100" t="s">
        <v>69</v>
      </c>
      <c r="E206" s="101" t="s">
        <v>532</v>
      </c>
      <c r="F206" s="92" t="str">
        <f t="shared" si="18"/>
        <v>CHA_TERM</v>
      </c>
      <c r="G206" s="146">
        <f>VLOOKUP(F206,Volumenes!$D$19:$G$346,4,FALSE)</f>
        <v>68.501741736524352</v>
      </c>
      <c r="H206" s="102">
        <f>+H204</f>
        <v>58</v>
      </c>
      <c r="I206" s="103">
        <f>+(H206/Tiempos!$B$28)/60</f>
        <v>0.65670289855072461</v>
      </c>
      <c r="J206" s="111">
        <f>+I206*(1+Tiempos!$C$17)</f>
        <v>0.69117980072463769</v>
      </c>
      <c r="K206" s="103">
        <f t="shared" si="17"/>
        <v>47.347020202741497</v>
      </c>
      <c r="L206" s="103">
        <f>+K206/Tiempos!$B$11</f>
        <v>0.10292830478856847</v>
      </c>
      <c r="M206" s="243"/>
      <c r="N206" s="243"/>
      <c r="O206" s="243"/>
      <c r="P206" s="243"/>
      <c r="Q206" s="262">
        <f>+K206/Tiempos!$B$12</f>
        <v>5.1464152394284236E-2</v>
      </c>
    </row>
    <row r="207" spans="1:17" ht="13.5" x14ac:dyDescent="0.35">
      <c r="K207" s="82" t="s">
        <v>40</v>
      </c>
      <c r="L207" s="86">
        <f>SUM(L200:L206)</f>
        <v>0.41997587755247345</v>
      </c>
      <c r="M207" s="238"/>
      <c r="N207" s="238"/>
      <c r="O207" s="238"/>
      <c r="P207" s="238"/>
      <c r="Q207" s="261">
        <f>SUM(Q200:Q206)</f>
        <v>0.20998793877623673</v>
      </c>
    </row>
    <row r="208" spans="1:17" x14ac:dyDescent="0.35">
      <c r="A208" s="75"/>
      <c r="B208" s="75"/>
      <c r="E208" s="104"/>
      <c r="F208" s="75"/>
      <c r="G208" s="152"/>
      <c r="H208" s="105"/>
      <c r="I208" s="109"/>
      <c r="J208" s="107"/>
      <c r="K208" s="162"/>
      <c r="L208" s="109"/>
      <c r="M208" s="109"/>
      <c r="N208" s="109"/>
      <c r="O208" s="109"/>
      <c r="P208" s="109"/>
      <c r="Q208" s="109"/>
    </row>
    <row r="209" spans="1:17" ht="17.649999999999999" x14ac:dyDescent="0.35">
      <c r="A209" s="205" t="s">
        <v>525</v>
      </c>
      <c r="B209" s="212"/>
      <c r="C209" s="70"/>
      <c r="D209" s="70"/>
      <c r="E209" s="94"/>
      <c r="F209" s="80"/>
      <c r="G209" s="80"/>
      <c r="H209" s="80"/>
      <c r="I209" s="80"/>
      <c r="J209" s="80"/>
      <c r="K209" s="80"/>
      <c r="L209" s="80"/>
    </row>
    <row r="210" spans="1:17" x14ac:dyDescent="0.35">
      <c r="A210" s="81"/>
      <c r="B210" s="81">
        <v>2</v>
      </c>
      <c r="C210" s="83">
        <v>1</v>
      </c>
      <c r="D210" s="83" t="s">
        <v>69</v>
      </c>
      <c r="E210" s="99" t="s">
        <v>541</v>
      </c>
      <c r="F210" s="81" t="str">
        <f>+Volumenes!D94</f>
        <v>CHI_ALM</v>
      </c>
      <c r="G210" s="123">
        <f>VLOOKUP(F210,Volumenes!$D$19:$G$346,4,FALSE)</f>
        <v>35.507301587301583</v>
      </c>
      <c r="H210" s="97"/>
      <c r="I210" s="98">
        <f>10/60</f>
        <v>0.16666666666666666</v>
      </c>
      <c r="J210" s="110">
        <f>+I210*(1+Tiempos!$C$17)</f>
        <v>0.17541666666666667</v>
      </c>
      <c r="K210" s="98">
        <f t="shared" ref="K210:K216" si="19">+J210*G210</f>
        <v>6.2285724867724861</v>
      </c>
      <c r="L210" s="98">
        <f>+K210/Tiempos!$B$11</f>
        <v>1.3540374971244535E-2</v>
      </c>
      <c r="M210" s="238"/>
      <c r="N210" s="238"/>
      <c r="O210" s="238"/>
      <c r="P210" s="238"/>
      <c r="Q210" s="261">
        <f>+K210/Tiempos!$B$12</f>
        <v>6.7701874856222677E-3</v>
      </c>
    </row>
    <row r="211" spans="1:17" x14ac:dyDescent="0.35">
      <c r="A211" s="92"/>
      <c r="B211" s="92">
        <v>2</v>
      </c>
      <c r="C211" s="100">
        <v>1</v>
      </c>
      <c r="D211" s="100" t="s">
        <v>69</v>
      </c>
      <c r="E211" s="101" t="s">
        <v>542</v>
      </c>
      <c r="F211" s="92" t="str">
        <f t="shared" ref="F211:F216" si="20">+F210</f>
        <v>CHI_ALM</v>
      </c>
      <c r="G211" s="146">
        <f>VLOOKUP(F211,Volumenes!$D$19:$G$346,4,FALSE)</f>
        <v>35.507301587301583</v>
      </c>
      <c r="H211" s="102">
        <f>+H201</f>
        <v>50</v>
      </c>
      <c r="I211" s="103">
        <f>+(H211/Tiempos!$B$28)/60</f>
        <v>0.56612318840579712</v>
      </c>
      <c r="J211" s="111">
        <f>+I211*(1+Tiempos!$C$17)</f>
        <v>0.59584465579710144</v>
      </c>
      <c r="K211" s="103">
        <f t="shared" si="19"/>
        <v>21.156835892569585</v>
      </c>
      <c r="L211" s="103">
        <f>+K211/Tiempos!$B$11</f>
        <v>4.5993121505586057E-2</v>
      </c>
      <c r="M211" s="243"/>
      <c r="N211" s="243"/>
      <c r="O211" s="243"/>
      <c r="P211" s="243"/>
      <c r="Q211" s="262">
        <f>+K211/Tiempos!$B$12</f>
        <v>2.2996560752793029E-2</v>
      </c>
    </row>
    <row r="212" spans="1:17" x14ac:dyDescent="0.35">
      <c r="A212" s="81"/>
      <c r="B212" s="81">
        <v>2</v>
      </c>
      <c r="C212" s="83">
        <v>1</v>
      </c>
      <c r="D212" s="83" t="s">
        <v>69</v>
      </c>
      <c r="E212" s="99" t="s">
        <v>543</v>
      </c>
      <c r="F212" s="81" t="str">
        <f t="shared" si="20"/>
        <v>CHI_ALM</v>
      </c>
      <c r="G212" s="123">
        <f>VLOOKUP(F212,Volumenes!$D$19:$G$346,4,FALSE)</f>
        <v>35.507301587301583</v>
      </c>
      <c r="H212" s="97"/>
      <c r="I212" s="98">
        <f>35/60</f>
        <v>0.58333333333333337</v>
      </c>
      <c r="J212" s="110">
        <f>+I212*(1+Tiempos!$C$17)</f>
        <v>0.61395833333333338</v>
      </c>
      <c r="K212" s="98">
        <f t="shared" si="19"/>
        <v>21.800003703703702</v>
      </c>
      <c r="L212" s="98">
        <f>+K212/Tiempos!$B$11</f>
        <v>4.7391312399355873E-2</v>
      </c>
      <c r="M212" s="238"/>
      <c r="N212" s="238"/>
      <c r="O212" s="238"/>
      <c r="P212" s="238"/>
      <c r="Q212" s="261">
        <f>+K212/Tiempos!$B$12</f>
        <v>2.3695656199677936E-2</v>
      </c>
    </row>
    <row r="213" spans="1:17" x14ac:dyDescent="0.35">
      <c r="A213" s="81"/>
      <c r="B213" s="81">
        <v>2</v>
      </c>
      <c r="C213" s="83">
        <v>1</v>
      </c>
      <c r="D213" s="83" t="s">
        <v>69</v>
      </c>
      <c r="E213" s="99" t="s">
        <v>544</v>
      </c>
      <c r="F213" s="81" t="str">
        <f t="shared" si="20"/>
        <v>CHI_ALM</v>
      </c>
      <c r="G213" s="123">
        <f>VLOOKUP(F213,Volumenes!$D$19:$G$346,4,FALSE)</f>
        <v>35.507301587301583</v>
      </c>
      <c r="H213" s="97"/>
      <c r="I213" s="98">
        <f>10/60</f>
        <v>0.16666666666666666</v>
      </c>
      <c r="J213" s="110">
        <f>+I213*(1+Tiempos!$C$17)</f>
        <v>0.17541666666666667</v>
      </c>
      <c r="K213" s="98">
        <f t="shared" si="19"/>
        <v>6.2285724867724861</v>
      </c>
      <c r="L213" s="98">
        <f>+K213/Tiempos!$B$11</f>
        <v>1.3540374971244535E-2</v>
      </c>
      <c r="M213" s="238"/>
      <c r="N213" s="238"/>
      <c r="O213" s="238"/>
      <c r="P213" s="238"/>
      <c r="Q213" s="261">
        <f>+K213/Tiempos!$B$12</f>
        <v>6.7701874856222677E-3</v>
      </c>
    </row>
    <row r="214" spans="1:17" x14ac:dyDescent="0.35">
      <c r="A214" s="92"/>
      <c r="B214" s="92">
        <v>2</v>
      </c>
      <c r="C214" s="100">
        <v>1</v>
      </c>
      <c r="D214" s="100" t="s">
        <v>69</v>
      </c>
      <c r="E214" s="101" t="s">
        <v>545</v>
      </c>
      <c r="F214" s="92" t="str">
        <f t="shared" si="20"/>
        <v>CHI_ALM</v>
      </c>
      <c r="G214" s="146">
        <f>VLOOKUP(F214,Volumenes!$D$19:$G$346,4,FALSE)</f>
        <v>35.507301587301583</v>
      </c>
      <c r="H214" s="102">
        <f>+Tiempos!E73</f>
        <v>58</v>
      </c>
      <c r="I214" s="103">
        <f>+(H214/Tiempos!$B$28)/60</f>
        <v>0.65670289855072461</v>
      </c>
      <c r="J214" s="111">
        <f>+I214*(1+Tiempos!$C$17)</f>
        <v>0.69117980072463769</v>
      </c>
      <c r="K214" s="103">
        <f t="shared" si="19"/>
        <v>24.541929635380718</v>
      </c>
      <c r="L214" s="103">
        <f>+K214/Tiempos!$B$11</f>
        <v>5.3352020946479825E-2</v>
      </c>
      <c r="M214" s="243"/>
      <c r="N214" s="243"/>
      <c r="O214" s="243"/>
      <c r="P214" s="243"/>
      <c r="Q214" s="262">
        <f>+K214/Tiempos!$B$12</f>
        <v>2.6676010473239913E-2</v>
      </c>
    </row>
    <row r="215" spans="1:17" x14ac:dyDescent="0.35">
      <c r="A215" s="81"/>
      <c r="B215" s="81">
        <v>2</v>
      </c>
      <c r="C215" s="83">
        <v>1</v>
      </c>
      <c r="D215" s="83" t="s">
        <v>69</v>
      </c>
      <c r="E215" s="99" t="s">
        <v>531</v>
      </c>
      <c r="F215" s="81" t="str">
        <f t="shared" si="20"/>
        <v>CHI_ALM</v>
      </c>
      <c r="G215" s="123">
        <f>VLOOKUP(F215,Volumenes!$D$19:$G$346,4,FALSE)</f>
        <v>35.507301587301583</v>
      </c>
      <c r="H215" s="97"/>
      <c r="I215" s="98">
        <f>20/60</f>
        <v>0.33333333333333331</v>
      </c>
      <c r="J215" s="110">
        <f>+I215*(1+Tiempos!$C$17)</f>
        <v>0.35083333333333333</v>
      </c>
      <c r="K215" s="98">
        <f t="shared" si="19"/>
        <v>12.457144973544972</v>
      </c>
      <c r="L215" s="98">
        <f>+K215/Tiempos!$B$11</f>
        <v>2.7080749942489071E-2</v>
      </c>
      <c r="M215" s="238"/>
      <c r="N215" s="238"/>
      <c r="O215" s="238"/>
      <c r="P215" s="238"/>
      <c r="Q215" s="261">
        <f>+K215/Tiempos!$B$12</f>
        <v>1.3540374971244535E-2</v>
      </c>
    </row>
    <row r="216" spans="1:17" x14ac:dyDescent="0.35">
      <c r="A216" s="92"/>
      <c r="B216" s="92">
        <v>2</v>
      </c>
      <c r="C216" s="100">
        <v>1</v>
      </c>
      <c r="D216" s="100" t="s">
        <v>69</v>
      </c>
      <c r="E216" s="101" t="s">
        <v>546</v>
      </c>
      <c r="F216" s="92" t="str">
        <f t="shared" si="20"/>
        <v>CHI_ALM</v>
      </c>
      <c r="G216" s="146">
        <f>VLOOKUP(F216,Volumenes!$D$19:$G$346,4,FALSE)</f>
        <v>35.507301587301583</v>
      </c>
      <c r="H216" s="102">
        <f>+Tiempos!E73</f>
        <v>58</v>
      </c>
      <c r="I216" s="103">
        <f>+(H216/Tiempos!$B$28)/60</f>
        <v>0.65670289855072461</v>
      </c>
      <c r="J216" s="111">
        <f>+I216*(1+Tiempos!$C$17)</f>
        <v>0.69117980072463769</v>
      </c>
      <c r="K216" s="103">
        <f t="shared" si="19"/>
        <v>24.541929635380718</v>
      </c>
      <c r="L216" s="103">
        <f>+K216/Tiempos!$B$11</f>
        <v>5.3352020946479825E-2</v>
      </c>
      <c r="M216" s="243"/>
      <c r="N216" s="243"/>
      <c r="O216" s="243"/>
      <c r="P216" s="243"/>
      <c r="Q216" s="262">
        <f>+K216/Tiempos!$B$12</f>
        <v>2.6676010473239913E-2</v>
      </c>
    </row>
    <row r="217" spans="1:17" ht="13.5" x14ac:dyDescent="0.35">
      <c r="K217" s="82" t="s">
        <v>40</v>
      </c>
      <c r="L217" s="86">
        <f>SUM(L210:L216)</f>
        <v>0.25424997568287971</v>
      </c>
      <c r="M217" s="238"/>
      <c r="N217" s="238"/>
      <c r="O217" s="238"/>
      <c r="P217" s="238"/>
      <c r="Q217" s="261">
        <f>SUM(Q210:Q216)</f>
        <v>0.12712498784143986</v>
      </c>
    </row>
    <row r="218" spans="1:17" ht="13.5" x14ac:dyDescent="0.35">
      <c r="K218" s="82"/>
      <c r="L218" s="195"/>
      <c r="M218" s="195"/>
      <c r="N218" s="195"/>
      <c r="O218" s="195"/>
      <c r="P218" s="195"/>
      <c r="Q218" s="195"/>
    </row>
    <row r="219" spans="1:17" ht="17.649999999999999" x14ac:dyDescent="0.35">
      <c r="A219" s="79" t="s">
        <v>569</v>
      </c>
      <c r="B219" s="79"/>
      <c r="C219" s="70"/>
      <c r="D219" s="70"/>
      <c r="E219" s="94"/>
      <c r="F219" s="80"/>
      <c r="G219" s="80"/>
      <c r="H219" s="80"/>
      <c r="I219" s="80"/>
      <c r="J219" s="80"/>
      <c r="K219" s="80"/>
      <c r="L219" s="80"/>
    </row>
    <row r="220" spans="1:17" ht="13.15" x14ac:dyDescent="0.4">
      <c r="A220" s="84" t="s">
        <v>610</v>
      </c>
      <c r="B220" s="84"/>
      <c r="C220" s="70"/>
      <c r="D220" s="70"/>
      <c r="E220" s="94"/>
      <c r="F220" s="80"/>
      <c r="G220" s="80"/>
      <c r="H220" s="80"/>
      <c r="I220" s="80"/>
      <c r="J220" s="80"/>
      <c r="K220" s="80"/>
      <c r="L220" s="80"/>
    </row>
    <row r="221" spans="1:17" x14ac:dyDescent="0.35">
      <c r="A221" s="81"/>
      <c r="B221" s="81">
        <v>2</v>
      </c>
      <c r="C221" s="83">
        <v>1</v>
      </c>
      <c r="D221" s="83" t="s">
        <v>333</v>
      </c>
      <c r="E221" s="99" t="s">
        <v>562</v>
      </c>
      <c r="F221" s="81" t="str">
        <f>+Volumenes!D121</f>
        <v>SUM_PALLET</v>
      </c>
      <c r="G221" s="143">
        <f>VLOOKUP(F221,Volumenes!$D$19:$G$346,4,FALSE)</f>
        <v>27.096444444444444</v>
      </c>
      <c r="H221" s="97"/>
      <c r="I221" s="98">
        <f>6/60</f>
        <v>0.1</v>
      </c>
      <c r="J221" s="110">
        <f>+I221*(1+Tiempos!$C$17)</f>
        <v>0.10525000000000001</v>
      </c>
      <c r="K221" s="98">
        <f>+J221*G221</f>
        <v>2.8519007777777778</v>
      </c>
      <c r="L221" s="98">
        <f>+K221/Tiempos!$B$11</f>
        <v>6.1997842995169085E-3</v>
      </c>
      <c r="M221" s="261">
        <f>+H221/Tiempos!$B$12</f>
        <v>0</v>
      </c>
      <c r="N221" s="238"/>
      <c r="O221" s="238"/>
      <c r="P221" s="261"/>
      <c r="Q221" s="261"/>
    </row>
    <row r="222" spans="1:17" x14ac:dyDescent="0.35">
      <c r="A222" s="81"/>
      <c r="B222" s="81">
        <v>2</v>
      </c>
      <c r="C222" s="83">
        <v>1</v>
      </c>
      <c r="D222" s="83" t="s">
        <v>333</v>
      </c>
      <c r="E222" s="99" t="s">
        <v>563</v>
      </c>
      <c r="F222" s="81" t="str">
        <f>+Volumenes!D121</f>
        <v>SUM_PALLET</v>
      </c>
      <c r="G222" s="143">
        <f>VLOOKUP(F222,Volumenes!$D$19:$G$346,4,FALSE)</f>
        <v>27.096444444444444</v>
      </c>
      <c r="H222" s="97"/>
      <c r="I222" s="98">
        <f>60/60</f>
        <v>1</v>
      </c>
      <c r="J222" s="110">
        <f>+I222*(1+Tiempos!$C$17)</f>
        <v>1.0525</v>
      </c>
      <c r="K222" s="98">
        <f t="shared" ref="K222:K223" si="21">+J222*G222</f>
        <v>28.519007777777777</v>
      </c>
      <c r="L222" s="98">
        <f>+K222/Tiempos!$B$11</f>
        <v>6.1997842995169077E-2</v>
      </c>
      <c r="M222" s="261">
        <f>+H222/Tiempos!$B$12</f>
        <v>0</v>
      </c>
      <c r="N222" s="238"/>
      <c r="O222" s="238"/>
      <c r="P222" s="261"/>
      <c r="Q222" s="261"/>
    </row>
    <row r="223" spans="1:17" x14ac:dyDescent="0.35">
      <c r="A223" s="81"/>
      <c r="B223" s="81">
        <v>2</v>
      </c>
      <c r="C223" s="83">
        <v>1</v>
      </c>
      <c r="D223" s="83" t="s">
        <v>333</v>
      </c>
      <c r="E223" s="99" t="s">
        <v>564</v>
      </c>
      <c r="F223" s="81" t="str">
        <f>+Volumenes!D120</f>
        <v>SUM_CAJ_L1-2</v>
      </c>
      <c r="G223" s="143">
        <f>VLOOKUP(F223,Volumenes!$D$19:$G$346,4,FALSE)</f>
        <v>189.67511111111111</v>
      </c>
      <c r="H223" s="97"/>
      <c r="I223" s="98">
        <f>10/60</f>
        <v>0.16666666666666666</v>
      </c>
      <c r="J223" s="110">
        <f>+I223*(1+Tiempos!$C$17)</f>
        <v>0.17541666666666667</v>
      </c>
      <c r="K223" s="98">
        <f t="shared" si="21"/>
        <v>33.272175740740742</v>
      </c>
      <c r="L223" s="98">
        <f>+K223/Tiempos!$B$11</f>
        <v>7.2330816827697264E-2</v>
      </c>
      <c r="M223" s="261">
        <f>+H223/Tiempos!$B$12</f>
        <v>0</v>
      </c>
      <c r="N223" s="238"/>
      <c r="O223" s="238"/>
      <c r="P223" s="261"/>
      <c r="Q223" s="261"/>
    </row>
    <row r="224" spans="1:17" x14ac:dyDescent="0.35">
      <c r="A224" s="92"/>
      <c r="B224" s="92">
        <v>2</v>
      </c>
      <c r="C224" s="100">
        <v>1</v>
      </c>
      <c r="D224" s="100" t="s">
        <v>333</v>
      </c>
      <c r="E224" s="101" t="s">
        <v>567</v>
      </c>
      <c r="F224" s="92" t="str">
        <f>+Volumenes!D121</f>
        <v>SUM_PALLET</v>
      </c>
      <c r="G224" s="144">
        <f>VLOOKUP(F224,Volumenes!$D$19:$G$346,4,FALSE)</f>
        <v>27.096444444444444</v>
      </c>
      <c r="H224" s="102">
        <f>VLOOKUP(F224,Tiempos!$D$42:$F$228,2,FALSE)</f>
        <v>265</v>
      </c>
      <c r="I224" s="103">
        <f>VLOOKUP(F224,Tiempos!D42:F145,3,FALSE)</f>
        <v>2.2649572649572653</v>
      </c>
      <c r="J224" s="111">
        <f>+I224*(1+Tiempos!$C$17)</f>
        <v>2.3838675213675216</v>
      </c>
      <c r="K224" s="103">
        <f>+J224*G224</f>
        <v>64.594333855650532</v>
      </c>
      <c r="L224" s="103">
        <f>+K224/Tiempos!$B$11</f>
        <v>0.14042246490358812</v>
      </c>
      <c r="M224" s="262">
        <f>+H224/Tiempos!$B$12</f>
        <v>0.28804347826086957</v>
      </c>
      <c r="N224" s="243"/>
      <c r="O224" s="243"/>
      <c r="P224" s="262"/>
      <c r="Q224" s="262"/>
    </row>
    <row r="225" spans="1:17" x14ac:dyDescent="0.35">
      <c r="A225" s="92"/>
      <c r="B225" s="92">
        <v>2</v>
      </c>
      <c r="C225" s="100">
        <v>1</v>
      </c>
      <c r="D225" s="100" t="s">
        <v>46</v>
      </c>
      <c r="E225" s="101" t="s">
        <v>566</v>
      </c>
      <c r="F225" s="92" t="str">
        <f>+Volumenes!D120</f>
        <v>SUM_CAJ_L1-2</v>
      </c>
      <c r="G225" s="144">
        <f>VLOOKUP(F225,Volumenes!$D$19:$G$346,4,FALSE)</f>
        <v>189.67511111111111</v>
      </c>
      <c r="H225" s="102">
        <f>VLOOKUP(F225,Tiempos!$D$42:$F$228,2,FALSE)</f>
        <v>26</v>
      </c>
      <c r="I225" s="103">
        <f>VLOOKUP(F225,Tiempos!D43:F146,3,FALSE)</f>
        <v>0.29438405797101452</v>
      </c>
      <c r="J225" s="111">
        <f>+I225*(1+Tiempos!$C$17)</f>
        <v>0.30983922101449279</v>
      </c>
      <c r="K225" s="103">
        <f>+J225*G225</f>
        <v>58.76878867250403</v>
      </c>
      <c r="L225" s="103">
        <f>+K225/Tiempos!$B$11</f>
        <v>0.12775823624457397</v>
      </c>
      <c r="M225" s="262">
        <f>+H225/Tiempos!$B$12</f>
        <v>2.8260869565217391E-2</v>
      </c>
      <c r="N225" s="243"/>
      <c r="O225" s="243"/>
      <c r="P225" s="262"/>
      <c r="Q225" s="262"/>
    </row>
    <row r="226" spans="1:17" x14ac:dyDescent="0.35">
      <c r="A226" s="81"/>
      <c r="B226" s="81">
        <v>2</v>
      </c>
      <c r="C226" s="83">
        <v>1</v>
      </c>
      <c r="D226" s="83" t="s">
        <v>333</v>
      </c>
      <c r="E226" s="99" t="s">
        <v>565</v>
      </c>
      <c r="F226" s="81" t="str">
        <f>+Volumenes!D120</f>
        <v>SUM_CAJ_L1-2</v>
      </c>
      <c r="G226" s="143">
        <f>VLOOKUP(F226,Volumenes!$D$19:$G$346,4,FALSE)</f>
        <v>189.67511111111111</v>
      </c>
      <c r="H226" s="97"/>
      <c r="I226" s="98">
        <f>35/60</f>
        <v>0.58333333333333337</v>
      </c>
      <c r="J226" s="110">
        <f>+I226*(1+Tiempos!$C$17)</f>
        <v>0.61395833333333338</v>
      </c>
      <c r="K226" s="98">
        <f>+J226*G226</f>
        <v>116.45261509259259</v>
      </c>
      <c r="L226" s="98">
        <f>+K226/Tiempos!$B$11</f>
        <v>0.25315785889694042</v>
      </c>
      <c r="M226" s="261">
        <f>+H226/Tiempos!$B$12</f>
        <v>0</v>
      </c>
      <c r="N226" s="238"/>
      <c r="O226" s="238"/>
      <c r="P226" s="261"/>
      <c r="Q226" s="261"/>
    </row>
    <row r="227" spans="1:17" x14ac:dyDescent="0.35">
      <c r="A227" s="81"/>
      <c r="B227" s="81">
        <v>2</v>
      </c>
      <c r="C227" s="83">
        <v>1</v>
      </c>
      <c r="D227" s="83" t="s">
        <v>333</v>
      </c>
      <c r="E227" s="99" t="s">
        <v>1008</v>
      </c>
      <c r="F227" s="81" t="str">
        <f>+Volumenes!D122</f>
        <v>KLT_VAC</v>
      </c>
      <c r="G227" s="143">
        <f>VLOOKUP(F227,Volumenes!$D$19:$G$346,4,FALSE)</f>
        <v>18.967511111111111</v>
      </c>
      <c r="H227" s="97"/>
      <c r="I227" s="98">
        <f>35/60</f>
        <v>0.58333333333333337</v>
      </c>
      <c r="J227" s="110">
        <f>+I227*(1+Tiempos!$C$17)</f>
        <v>0.61395833333333338</v>
      </c>
      <c r="K227" s="98">
        <f t="shared" ref="K227:K229" si="22">+J227*G227</f>
        <v>11.64526150925926</v>
      </c>
      <c r="L227" s="98">
        <f>+K227/Tiempos!$B$11</f>
        <v>2.5315785889694045E-2</v>
      </c>
      <c r="M227" s="261">
        <f>+H227/Tiempos!$B$12</f>
        <v>0</v>
      </c>
      <c r="N227" s="238"/>
      <c r="O227" s="238"/>
      <c r="P227" s="261"/>
      <c r="Q227" s="261"/>
    </row>
    <row r="228" spans="1:17" x14ac:dyDescent="0.35">
      <c r="A228" s="81"/>
      <c r="B228" s="81">
        <v>2</v>
      </c>
      <c r="C228" s="83">
        <v>1</v>
      </c>
      <c r="D228" s="83" t="s">
        <v>333</v>
      </c>
      <c r="E228" s="99" t="s">
        <v>568</v>
      </c>
      <c r="F228" s="81" t="str">
        <f>+Volumenes!D120</f>
        <v>SUM_CAJ_L1-2</v>
      </c>
      <c r="G228" s="143">
        <f>VLOOKUP(F228,Volumenes!$D$19:$G$346,4,FALSE)</f>
        <v>189.67511111111111</v>
      </c>
      <c r="H228" s="97"/>
      <c r="I228" s="98">
        <f>8/60</f>
        <v>0.13333333333333333</v>
      </c>
      <c r="J228" s="110">
        <f>+I228*(1+Tiempos!$C$17)</f>
        <v>0.14033333333333334</v>
      </c>
      <c r="K228" s="98">
        <f t="shared" si="22"/>
        <v>26.617740592592593</v>
      </c>
      <c r="L228" s="98">
        <f>+K228/Tiempos!$B$11</f>
        <v>5.7864653462157814E-2</v>
      </c>
      <c r="M228" s="261">
        <f>+H228/Tiempos!$B$12</f>
        <v>0</v>
      </c>
      <c r="N228" s="238"/>
      <c r="O228" s="238"/>
      <c r="P228" s="261"/>
      <c r="Q228" s="261"/>
    </row>
    <row r="229" spans="1:17" x14ac:dyDescent="0.35">
      <c r="A229" s="81"/>
      <c r="B229" s="81">
        <v>2</v>
      </c>
      <c r="C229" s="83">
        <v>1</v>
      </c>
      <c r="D229" s="83" t="s">
        <v>333</v>
      </c>
      <c r="E229" s="99" t="s">
        <v>570</v>
      </c>
      <c r="F229" s="81" t="str">
        <f>+Volumenes!D120</f>
        <v>SUM_CAJ_L1-2</v>
      </c>
      <c r="G229" s="143">
        <f>VLOOKUP(F229,Volumenes!$D$19:$G$346,4,FALSE)</f>
        <v>189.67511111111111</v>
      </c>
      <c r="H229" s="97"/>
      <c r="I229" s="98">
        <f>8/60</f>
        <v>0.13333333333333333</v>
      </c>
      <c r="J229" s="110">
        <f>+I229*(1+Tiempos!$C$17)</f>
        <v>0.14033333333333334</v>
      </c>
      <c r="K229" s="98">
        <f t="shared" si="22"/>
        <v>26.617740592592593</v>
      </c>
      <c r="L229" s="98">
        <f>+K229/Tiempos!$B$11</f>
        <v>5.7864653462157814E-2</v>
      </c>
      <c r="M229" s="261">
        <f>+H229/Tiempos!$B$12</f>
        <v>0</v>
      </c>
      <c r="N229" s="238"/>
      <c r="O229" s="238"/>
      <c r="P229" s="261"/>
      <c r="Q229" s="261"/>
    </row>
    <row r="230" spans="1:17" x14ac:dyDescent="0.35">
      <c r="A230" s="75"/>
      <c r="B230" s="75"/>
      <c r="E230" s="104"/>
      <c r="F230" s="75"/>
      <c r="G230" s="108"/>
      <c r="H230" s="105"/>
      <c r="I230" s="106"/>
      <c r="J230" s="107"/>
      <c r="K230" s="109"/>
      <c r="L230" s="98">
        <f>SUM(L221:L229)</f>
        <v>0.80291209698149557</v>
      </c>
      <c r="M230" s="110">
        <f>SUM(M221:M229)</f>
        <v>0.31630434782608696</v>
      </c>
      <c r="N230" s="141"/>
      <c r="O230" s="141"/>
      <c r="P230" s="110"/>
      <c r="Q230" s="141"/>
    </row>
    <row r="231" spans="1:17" x14ac:dyDescent="0.35">
      <c r="A231" s="75"/>
      <c r="B231" s="75"/>
      <c r="E231" s="104"/>
      <c r="F231" s="75"/>
      <c r="G231" s="108"/>
      <c r="H231" s="105"/>
      <c r="I231" s="106"/>
      <c r="J231" s="107"/>
      <c r="K231" s="109"/>
      <c r="L231" s="249"/>
      <c r="M231" s="249"/>
      <c r="N231" s="249"/>
      <c r="O231" s="249"/>
      <c r="P231" s="249"/>
      <c r="Q231" s="249"/>
    </row>
    <row r="232" spans="1:17" ht="13.15" x14ac:dyDescent="0.4">
      <c r="A232" s="84" t="s">
        <v>767</v>
      </c>
      <c r="B232" s="84"/>
      <c r="C232" s="70"/>
      <c r="D232" s="70"/>
      <c r="E232" s="94"/>
      <c r="F232" s="80"/>
      <c r="G232" s="80"/>
      <c r="H232" s="80"/>
      <c r="I232" s="80"/>
      <c r="J232" s="80"/>
      <c r="K232" s="80"/>
      <c r="L232" s="80"/>
    </row>
    <row r="233" spans="1:17" x14ac:dyDescent="0.35">
      <c r="A233" s="81"/>
      <c r="B233" s="81">
        <v>2</v>
      </c>
      <c r="C233" s="83">
        <v>1</v>
      </c>
      <c r="D233" s="83" t="s">
        <v>46</v>
      </c>
      <c r="E233" s="99" t="s">
        <v>768</v>
      </c>
      <c r="F233" s="81" t="str">
        <f>+Volumenes!D120</f>
        <v>SUM_CAJ_L1-2</v>
      </c>
      <c r="G233" s="143">
        <f>VLOOKUP(F233,Volumenes!$D$19:$G$346,4,FALSE)</f>
        <v>189.67511111111111</v>
      </c>
      <c r="H233" s="97"/>
      <c r="I233" s="98">
        <f>8/60</f>
        <v>0.13333333333333333</v>
      </c>
      <c r="J233" s="110">
        <f>+I233*(1+Tiempos!$C$17)</f>
        <v>0.14033333333333334</v>
      </c>
      <c r="K233" s="98">
        <f>+J233*G233</f>
        <v>26.617740592592593</v>
      </c>
      <c r="L233" s="98">
        <f>+K233/Tiempos!$B$11</f>
        <v>5.7864653462157814E-2</v>
      </c>
      <c r="M233" s="238"/>
      <c r="N233" s="238"/>
      <c r="O233" s="238"/>
      <c r="P233" s="261"/>
      <c r="Q233" s="261"/>
    </row>
    <row r="234" spans="1:17" x14ac:dyDescent="0.35">
      <c r="A234" s="81"/>
      <c r="B234" s="81">
        <v>2</v>
      </c>
      <c r="C234" s="83">
        <v>1</v>
      </c>
      <c r="D234" s="83" t="s">
        <v>46</v>
      </c>
      <c r="E234" s="99" t="s">
        <v>769</v>
      </c>
      <c r="F234" s="81" t="str">
        <f>+F233</f>
        <v>SUM_CAJ_L1-2</v>
      </c>
      <c r="G234" s="143">
        <f>VLOOKUP(F234,Volumenes!$D$19:$G$346,4,FALSE)</f>
        <v>189.67511111111111</v>
      </c>
      <c r="H234" s="97"/>
      <c r="I234" s="98">
        <f>15/60</f>
        <v>0.25</v>
      </c>
      <c r="J234" s="110">
        <f>+I234*(1+Tiempos!$C$17)</f>
        <v>0.263125</v>
      </c>
      <c r="K234" s="98">
        <f t="shared" ref="K234:K235" si="23">+J234*G234</f>
        <v>49.90826361111111</v>
      </c>
      <c r="L234" s="98">
        <f>+K234/Tiempos!$B$11</f>
        <v>0.1084962252415459</v>
      </c>
      <c r="M234" s="238"/>
      <c r="N234" s="238"/>
      <c r="O234" s="238"/>
      <c r="P234" s="261"/>
      <c r="Q234" s="261"/>
    </row>
    <row r="235" spans="1:17" x14ac:dyDescent="0.35">
      <c r="A235" s="81"/>
      <c r="B235" s="81">
        <v>2</v>
      </c>
      <c r="C235" s="83">
        <v>1</v>
      </c>
      <c r="D235" s="83" t="s">
        <v>46</v>
      </c>
      <c r="E235" s="99" t="s">
        <v>770</v>
      </c>
      <c r="F235" s="81" t="str">
        <f>+F234</f>
        <v>SUM_CAJ_L1-2</v>
      </c>
      <c r="G235" s="143">
        <f>VLOOKUP(F235,Volumenes!$D$19:$G$346,4,FALSE)</f>
        <v>189.67511111111111</v>
      </c>
      <c r="H235" s="97"/>
      <c r="I235" s="98">
        <f>15/60</f>
        <v>0.25</v>
      </c>
      <c r="J235" s="110">
        <f>+I235*(1+Tiempos!$C$17)</f>
        <v>0.263125</v>
      </c>
      <c r="K235" s="98">
        <f t="shared" si="23"/>
        <v>49.90826361111111</v>
      </c>
      <c r="L235" s="98">
        <f>+K235/Tiempos!$B$11</f>
        <v>0.1084962252415459</v>
      </c>
      <c r="M235" s="238"/>
      <c r="N235" s="238"/>
      <c r="O235" s="238"/>
      <c r="P235" s="261"/>
      <c r="Q235" s="261"/>
    </row>
    <row r="236" spans="1:17" x14ac:dyDescent="0.35">
      <c r="A236" s="75"/>
      <c r="B236" s="75"/>
      <c r="E236" s="104"/>
      <c r="F236" s="75"/>
      <c r="G236" s="108"/>
      <c r="H236" s="105"/>
      <c r="I236" s="106"/>
      <c r="J236" s="107"/>
      <c r="K236" s="109"/>
      <c r="L236" s="98">
        <f>SUM(L233:L235)</f>
        <v>0.27485710394524959</v>
      </c>
      <c r="M236" s="141"/>
      <c r="N236" s="141"/>
      <c r="O236" s="141"/>
      <c r="P236" s="110"/>
      <c r="Q236" s="141"/>
    </row>
    <row r="237" spans="1:17" x14ac:dyDescent="0.35">
      <c r="A237" s="75"/>
      <c r="B237" s="75"/>
      <c r="E237" s="104"/>
      <c r="F237" s="75"/>
      <c r="G237" s="108"/>
      <c r="H237" s="105"/>
      <c r="I237" s="106"/>
      <c r="J237" s="107"/>
      <c r="K237" s="109"/>
      <c r="L237" s="249"/>
      <c r="M237" s="249"/>
      <c r="N237" s="249"/>
      <c r="O237" s="249"/>
      <c r="P237" s="249"/>
      <c r="Q237" s="249"/>
    </row>
    <row r="238" spans="1:17" ht="13.15" x14ac:dyDescent="0.4">
      <c r="A238" s="84" t="s">
        <v>609</v>
      </c>
      <c r="B238" s="84"/>
      <c r="C238" s="70"/>
      <c r="D238" s="70"/>
      <c r="E238" s="94"/>
      <c r="F238" s="80"/>
      <c r="G238" s="80"/>
      <c r="H238" s="80"/>
      <c r="I238" s="80"/>
      <c r="J238" s="80"/>
      <c r="K238" s="80"/>
      <c r="L238" s="80"/>
    </row>
    <row r="239" spans="1:17" x14ac:dyDescent="0.35">
      <c r="A239" s="81"/>
      <c r="B239" s="81">
        <v>2</v>
      </c>
      <c r="C239" s="83">
        <v>1</v>
      </c>
      <c r="D239" s="83" t="s">
        <v>333</v>
      </c>
      <c r="E239" s="99" t="s">
        <v>815</v>
      </c>
      <c r="F239" s="81" t="str">
        <f>+Volumenes!D46</f>
        <v>CHA_SUM</v>
      </c>
      <c r="G239" s="143">
        <f>VLOOKUP(F239,Volumenes!$D$19:$G$346,4,FALSE)</f>
        <v>34.250870868262176</v>
      </c>
      <c r="H239" s="97"/>
      <c r="I239" s="98">
        <f>35/60</f>
        <v>0.58333333333333337</v>
      </c>
      <c r="J239" s="110">
        <f>+I239*(1+Tiempos!$C$17)</f>
        <v>0.61395833333333338</v>
      </c>
      <c r="K239" s="98">
        <f>+J239*G239</f>
        <v>21.028607593493465</v>
      </c>
      <c r="L239" s="98">
        <f>+K239/Tiempos!$B$11</f>
        <v>4.5714364333681444E-2</v>
      </c>
      <c r="M239" s="261">
        <f>+K239/Tiempos!$B$12</f>
        <v>2.2857182166840722E-2</v>
      </c>
      <c r="N239" s="238"/>
      <c r="O239" s="238"/>
      <c r="P239" s="238"/>
      <c r="Q239" s="261"/>
    </row>
    <row r="240" spans="1:17" x14ac:dyDescent="0.35">
      <c r="A240" s="81"/>
      <c r="B240" s="81">
        <v>2</v>
      </c>
      <c r="C240" s="83">
        <v>1</v>
      </c>
      <c r="D240" s="83" t="s">
        <v>333</v>
      </c>
      <c r="E240" s="99" t="s">
        <v>579</v>
      </c>
      <c r="F240" s="81" t="str">
        <f>+Volumenes!D45</f>
        <v>CHA_SUM_BUL</v>
      </c>
      <c r="G240" s="143">
        <f>VLOOKUP(F240,Volumenes!$D$19:$G$346,4,FALSE)</f>
        <v>68.501741736524352</v>
      </c>
      <c r="H240" s="97"/>
      <c r="I240" s="98">
        <f>8/60</f>
        <v>0.13333333333333333</v>
      </c>
      <c r="J240" s="110">
        <f>+I240*(1+Tiempos!$C$17)</f>
        <v>0.14033333333333334</v>
      </c>
      <c r="K240" s="98">
        <f t="shared" ref="K240" si="24">+J240*G240</f>
        <v>9.6130777570255841</v>
      </c>
      <c r="L240" s="98">
        <f>+K240/Tiempos!$B$11</f>
        <v>2.0897995123968661E-2</v>
      </c>
      <c r="M240" s="261">
        <f>+K240/Tiempos!$B$12</f>
        <v>1.044899756198433E-2</v>
      </c>
      <c r="N240" s="238"/>
      <c r="O240" s="238"/>
      <c r="P240" s="238"/>
      <c r="Q240" s="261"/>
    </row>
    <row r="241" spans="1:17" x14ac:dyDescent="0.35">
      <c r="A241" s="92"/>
      <c r="B241" s="92">
        <v>2</v>
      </c>
      <c r="C241" s="100">
        <v>1</v>
      </c>
      <c r="D241" s="100" t="s">
        <v>333</v>
      </c>
      <c r="E241" s="101" t="s">
        <v>817</v>
      </c>
      <c r="F241" s="92" t="str">
        <f>+Volumenes!D46</f>
        <v>CHA_SUM</v>
      </c>
      <c r="G241" s="144">
        <f>VLOOKUP(F241,Volumenes!$D$19:$G$346,4,FALSE)</f>
        <v>34.250870868262176</v>
      </c>
      <c r="H241" s="102">
        <f>VLOOKUP(F241,Tiempos!$D$42:$F$228,2,FALSE)</f>
        <v>320</v>
      </c>
      <c r="I241" s="103">
        <f>VLOOKUP(F241,Tiempos!D54:F157,3,FALSE)</f>
        <v>2.7350427350427351</v>
      </c>
      <c r="J241" s="111">
        <f>+I241*(1+Tiempos!$C$17)</f>
        <v>2.8786324786324786</v>
      </c>
      <c r="K241" s="103">
        <f>+J241*G241</f>
        <v>98.595669302826508</v>
      </c>
      <c r="L241" s="103">
        <f>+K241/Tiempos!$B$11</f>
        <v>0.21433841152788372</v>
      </c>
      <c r="M241" s="262">
        <f>+K241/Tiempos!$B$12</f>
        <v>0.10716920576394186</v>
      </c>
      <c r="N241" s="243"/>
      <c r="O241" s="243"/>
      <c r="P241" s="243"/>
      <c r="Q241" s="262"/>
    </row>
    <row r="242" spans="1:17" x14ac:dyDescent="0.35">
      <c r="A242" s="81"/>
      <c r="B242" s="81">
        <v>2</v>
      </c>
      <c r="C242" s="83">
        <v>1</v>
      </c>
      <c r="D242" s="83" t="s">
        <v>333</v>
      </c>
      <c r="E242" s="99" t="s">
        <v>582</v>
      </c>
      <c r="F242" s="81" t="str">
        <f>+Volumenes!D45</f>
        <v>CHA_SUM_BUL</v>
      </c>
      <c r="G242" s="143">
        <f>VLOOKUP(F242,Volumenes!$D$19:$G$346,4,FALSE)</f>
        <v>68.501741736524352</v>
      </c>
      <c r="H242" s="97"/>
      <c r="I242" s="98">
        <f>15/60</f>
        <v>0.25</v>
      </c>
      <c r="J242" s="110">
        <f>+I242*(1+Tiempos!$C$17)</f>
        <v>0.263125</v>
      </c>
      <c r="K242" s="98">
        <f>+J242*G242</f>
        <v>18.024520794422969</v>
      </c>
      <c r="L242" s="98">
        <f>+K242/Tiempos!$B$11</f>
        <v>3.9183740857441238E-2</v>
      </c>
      <c r="M242" s="261">
        <f>+K242/Tiempos!$B$12</f>
        <v>1.9591870428720619E-2</v>
      </c>
      <c r="N242" s="238"/>
      <c r="O242" s="238"/>
      <c r="P242" s="238"/>
      <c r="Q242" s="261"/>
    </row>
    <row r="243" spans="1:17" x14ac:dyDescent="0.35">
      <c r="A243" s="81"/>
      <c r="B243" s="81">
        <v>2</v>
      </c>
      <c r="C243" s="83">
        <v>1</v>
      </c>
      <c r="D243" s="83" t="s">
        <v>333</v>
      </c>
      <c r="E243" s="99" t="s">
        <v>583</v>
      </c>
      <c r="F243" s="81" t="str">
        <f t="shared" ref="F243:F249" si="25">+F242</f>
        <v>CHA_SUM_BUL</v>
      </c>
      <c r="G243" s="143">
        <f>VLOOKUP(F243,Volumenes!$D$19:$G$346,4,FALSE)</f>
        <v>68.501741736524352</v>
      </c>
      <c r="H243" s="97"/>
      <c r="I243" s="98">
        <f>25/60</f>
        <v>0.41666666666666669</v>
      </c>
      <c r="J243" s="110">
        <f>+I243*(1+Tiempos!$C$17)</f>
        <v>0.43854166666666666</v>
      </c>
      <c r="K243" s="98">
        <f t="shared" ref="K243:K249" si="26">+J243*G243</f>
        <v>30.04086799070495</v>
      </c>
      <c r="L243" s="98">
        <f>+K243/Tiempos!$B$11</f>
        <v>6.5306234762402063E-2</v>
      </c>
      <c r="M243" s="261">
        <f>+K243/Tiempos!$B$12</f>
        <v>3.2653117381201031E-2</v>
      </c>
      <c r="N243" s="238"/>
      <c r="O243" s="238"/>
      <c r="P243" s="238"/>
      <c r="Q243" s="261"/>
    </row>
    <row r="244" spans="1:17" x14ac:dyDescent="0.35">
      <c r="A244" s="81"/>
      <c r="B244" s="81">
        <v>2</v>
      </c>
      <c r="C244" s="83">
        <v>1</v>
      </c>
      <c r="D244" s="83" t="s">
        <v>333</v>
      </c>
      <c r="E244" s="99" t="s">
        <v>584</v>
      </c>
      <c r="F244" s="81" t="str">
        <f t="shared" si="25"/>
        <v>CHA_SUM_BUL</v>
      </c>
      <c r="G244" s="143">
        <f>VLOOKUP(F244,Volumenes!$D$19:$G$346,4,FALSE)</f>
        <v>68.501741736524352</v>
      </c>
      <c r="H244" s="97"/>
      <c r="I244" s="98">
        <f>35/60</f>
        <v>0.58333333333333337</v>
      </c>
      <c r="J244" s="110">
        <f>+I244*(1+Tiempos!$C$17)</f>
        <v>0.61395833333333338</v>
      </c>
      <c r="K244" s="98">
        <f t="shared" si="26"/>
        <v>42.05721518698693</v>
      </c>
      <c r="L244" s="98">
        <f>+K244/Tiempos!$B$11</f>
        <v>9.1428728667362888E-2</v>
      </c>
      <c r="M244" s="261">
        <f>+K244/Tiempos!$B$12</f>
        <v>4.5714364333681444E-2</v>
      </c>
      <c r="N244" s="238"/>
      <c r="O244" s="238"/>
      <c r="P244" s="238"/>
      <c r="Q244" s="261"/>
    </row>
    <row r="245" spans="1:17" x14ac:dyDescent="0.35">
      <c r="A245" s="81"/>
      <c r="B245" s="81">
        <v>2</v>
      </c>
      <c r="C245" s="83">
        <v>1</v>
      </c>
      <c r="D245" s="83" t="s">
        <v>333</v>
      </c>
      <c r="E245" s="99" t="s">
        <v>879</v>
      </c>
      <c r="F245" s="81" t="str">
        <f t="shared" si="25"/>
        <v>CHA_SUM_BUL</v>
      </c>
      <c r="G245" s="143">
        <f>VLOOKUP(F245,Volumenes!$D$19:$G$346,4,FALSE)</f>
        <v>68.501741736524352</v>
      </c>
      <c r="H245" s="97"/>
      <c r="I245" s="98">
        <f>25/60</f>
        <v>0.41666666666666669</v>
      </c>
      <c r="J245" s="110">
        <f>+I245*(1+Tiempos!$C$17)</f>
        <v>0.43854166666666666</v>
      </c>
      <c r="K245" s="98">
        <f t="shared" si="26"/>
        <v>30.04086799070495</v>
      </c>
      <c r="L245" s="98">
        <f>+K245/Tiempos!$B$11</f>
        <v>6.5306234762402063E-2</v>
      </c>
      <c r="M245" s="261">
        <f>+K245/Tiempos!$B$12</f>
        <v>3.2653117381201031E-2</v>
      </c>
      <c r="N245" s="238"/>
      <c r="O245" s="238"/>
      <c r="P245" s="238"/>
      <c r="Q245" s="261"/>
    </row>
    <row r="246" spans="1:17" x14ac:dyDescent="0.35">
      <c r="A246" s="81"/>
      <c r="B246" s="81">
        <v>2</v>
      </c>
      <c r="C246" s="83">
        <v>1</v>
      </c>
      <c r="D246" s="83" t="s">
        <v>333</v>
      </c>
      <c r="E246" s="99" t="s">
        <v>585</v>
      </c>
      <c r="F246" s="81" t="str">
        <f t="shared" si="25"/>
        <v>CHA_SUM_BUL</v>
      </c>
      <c r="G246" s="143">
        <f>VLOOKUP(F246,Volumenes!$D$19:$G$346,4,FALSE)</f>
        <v>68.501741736524352</v>
      </c>
      <c r="H246" s="97"/>
      <c r="I246" s="98">
        <f>15/60</f>
        <v>0.25</v>
      </c>
      <c r="J246" s="110">
        <f>+I246*(1+Tiempos!$C$17)</f>
        <v>0.263125</v>
      </c>
      <c r="K246" s="98">
        <f t="shared" si="26"/>
        <v>18.024520794422969</v>
      </c>
      <c r="L246" s="98">
        <f>+K246/Tiempos!$B$11</f>
        <v>3.9183740857441238E-2</v>
      </c>
      <c r="M246" s="261">
        <f>+K246/Tiempos!$B$12</f>
        <v>1.9591870428720619E-2</v>
      </c>
      <c r="N246" s="238"/>
      <c r="O246" s="238"/>
      <c r="P246" s="238"/>
      <c r="Q246" s="261"/>
    </row>
    <row r="247" spans="1:17" x14ac:dyDescent="0.35">
      <c r="A247" s="81"/>
      <c r="B247" s="81">
        <v>2</v>
      </c>
      <c r="C247" s="83">
        <v>1</v>
      </c>
      <c r="D247" s="83" t="s">
        <v>333</v>
      </c>
      <c r="E247" s="99" t="s">
        <v>583</v>
      </c>
      <c r="F247" s="81" t="str">
        <f t="shared" si="25"/>
        <v>CHA_SUM_BUL</v>
      </c>
      <c r="G247" s="143">
        <f>VLOOKUP(F247,Volumenes!$D$19:$G$346,4,FALSE)</f>
        <v>68.501741736524352</v>
      </c>
      <c r="H247" s="97"/>
      <c r="I247" s="98">
        <f>25/60</f>
        <v>0.41666666666666669</v>
      </c>
      <c r="J247" s="110">
        <f>+I247*(1+Tiempos!$C$17)</f>
        <v>0.43854166666666666</v>
      </c>
      <c r="K247" s="98">
        <f t="shared" si="26"/>
        <v>30.04086799070495</v>
      </c>
      <c r="L247" s="98">
        <f>+K247/Tiempos!$B$11</f>
        <v>6.5306234762402063E-2</v>
      </c>
      <c r="M247" s="261">
        <f>+K247/Tiempos!$B$12</f>
        <v>3.2653117381201031E-2</v>
      </c>
      <c r="N247" s="238"/>
      <c r="O247" s="238"/>
      <c r="P247" s="238"/>
      <c r="Q247" s="261"/>
    </row>
    <row r="248" spans="1:17" x14ac:dyDescent="0.35">
      <c r="A248" s="81"/>
      <c r="B248" s="81">
        <v>2</v>
      </c>
      <c r="C248" s="83">
        <v>1</v>
      </c>
      <c r="D248" s="83" t="s">
        <v>333</v>
      </c>
      <c r="E248" s="99" t="s">
        <v>586</v>
      </c>
      <c r="F248" s="81" t="str">
        <f t="shared" si="25"/>
        <v>CHA_SUM_BUL</v>
      </c>
      <c r="G248" s="143">
        <f>VLOOKUP(F248,Volumenes!$D$19:$G$346,4,FALSE)</f>
        <v>68.501741736524352</v>
      </c>
      <c r="H248" s="97"/>
      <c r="I248" s="98">
        <f>35/60</f>
        <v>0.58333333333333337</v>
      </c>
      <c r="J248" s="110">
        <f>+I248*(1+Tiempos!$C$17)</f>
        <v>0.61395833333333338</v>
      </c>
      <c r="K248" s="98">
        <f t="shared" si="26"/>
        <v>42.05721518698693</v>
      </c>
      <c r="L248" s="98">
        <f>+K248/Tiempos!$B$11</f>
        <v>9.1428728667362888E-2</v>
      </c>
      <c r="M248" s="261">
        <f>+K248/Tiempos!$B$12</f>
        <v>4.5714364333681444E-2</v>
      </c>
      <c r="N248" s="238"/>
      <c r="O248" s="238"/>
      <c r="P248" s="238"/>
      <c r="Q248" s="261"/>
    </row>
    <row r="249" spans="1:17" x14ac:dyDescent="0.35">
      <c r="A249" s="81"/>
      <c r="B249" s="81">
        <v>2</v>
      </c>
      <c r="C249" s="83">
        <v>1</v>
      </c>
      <c r="D249" s="83" t="s">
        <v>333</v>
      </c>
      <c r="E249" s="99" t="s">
        <v>816</v>
      </c>
      <c r="F249" s="81" t="str">
        <f t="shared" si="25"/>
        <v>CHA_SUM_BUL</v>
      </c>
      <c r="G249" s="143">
        <f>VLOOKUP(F249,Volumenes!$D$19:$G$346,4,FALSE)</f>
        <v>68.501741736524352</v>
      </c>
      <c r="H249" s="97"/>
      <c r="I249" s="98">
        <f>15/60</f>
        <v>0.25</v>
      </c>
      <c r="J249" s="110">
        <f>+I249*(1+Tiempos!$C$17)</f>
        <v>0.263125</v>
      </c>
      <c r="K249" s="98">
        <f t="shared" si="26"/>
        <v>18.024520794422969</v>
      </c>
      <c r="L249" s="98">
        <f>+K249/Tiempos!$B$11</f>
        <v>3.9183740857441238E-2</v>
      </c>
      <c r="M249" s="261">
        <f>+K249/Tiempos!$B$12</f>
        <v>1.9591870428720619E-2</v>
      </c>
      <c r="N249" s="238"/>
      <c r="O249" s="238"/>
      <c r="P249" s="238"/>
      <c r="Q249" s="261"/>
    </row>
    <row r="250" spans="1:17" x14ac:dyDescent="0.35">
      <c r="A250" s="75"/>
      <c r="B250" s="75"/>
      <c r="E250" s="104"/>
      <c r="F250" s="75"/>
      <c r="G250" s="108"/>
      <c r="H250" s="105"/>
      <c r="I250" s="106"/>
      <c r="J250" s="107"/>
      <c r="K250" s="109"/>
      <c r="L250" s="98">
        <f>SUM(L239:L249)</f>
        <v>0.77727815517978949</v>
      </c>
      <c r="M250" s="98">
        <f>SUM(M239:M249)</f>
        <v>0.38863907758989474</v>
      </c>
      <c r="N250" s="141"/>
      <c r="O250" s="141"/>
      <c r="P250" s="141"/>
      <c r="Q250" s="141"/>
    </row>
    <row r="251" spans="1:17" x14ac:dyDescent="0.35">
      <c r="A251" s="75"/>
      <c r="B251" s="75"/>
      <c r="E251" s="104"/>
      <c r="F251" s="75"/>
      <c r="G251" s="108"/>
      <c r="H251" s="105"/>
      <c r="I251" s="106"/>
      <c r="J251" s="107"/>
      <c r="K251" s="109"/>
      <c r="L251" s="249"/>
      <c r="M251" s="249"/>
      <c r="N251" s="249"/>
      <c r="O251" s="249"/>
      <c r="P251" s="249"/>
      <c r="Q251" s="249"/>
    </row>
    <row r="252" spans="1:17" ht="13.15" x14ac:dyDescent="0.4">
      <c r="A252" s="84" t="s">
        <v>575</v>
      </c>
      <c r="B252" s="84"/>
      <c r="C252" s="70"/>
      <c r="D252" s="70"/>
      <c r="E252" s="94"/>
      <c r="F252" s="80"/>
      <c r="G252" s="80"/>
      <c r="H252" s="80"/>
      <c r="I252" s="80"/>
      <c r="J252" s="80"/>
      <c r="K252" s="80"/>
      <c r="L252" s="80"/>
    </row>
    <row r="253" spans="1:17" x14ac:dyDescent="0.35">
      <c r="A253" s="81"/>
      <c r="B253" s="81">
        <v>2</v>
      </c>
      <c r="C253" s="83">
        <v>1</v>
      </c>
      <c r="D253" s="83" t="s">
        <v>69</v>
      </c>
      <c r="E253" s="99" t="s">
        <v>587</v>
      </c>
      <c r="F253" s="81" t="str">
        <f>+Volumenes!D181</f>
        <v>CHI_GRA_SUM</v>
      </c>
      <c r="G253" s="143">
        <f>VLOOKUP(F253,Volumenes!$D$19:$G$346,4,FALSE)</f>
        <v>18.358095238095231</v>
      </c>
      <c r="H253" s="97"/>
      <c r="I253" s="98">
        <f>8/60</f>
        <v>0.13333333333333333</v>
      </c>
      <c r="J253" s="110">
        <f>+I253*(1+Tiempos!$C$17)</f>
        <v>0.14033333333333334</v>
      </c>
      <c r="K253" s="98">
        <f>+J253*G253</f>
        <v>2.5762526984126977</v>
      </c>
      <c r="L253" s="98">
        <f>+K253/Tiempos!$B$11</f>
        <v>5.6005493443754299E-3</v>
      </c>
      <c r="M253" s="261">
        <f>+K253/Tiempos!$B$12</f>
        <v>2.8002746721877149E-3</v>
      </c>
      <c r="N253" s="238"/>
      <c r="O253" s="238"/>
      <c r="P253" s="238"/>
      <c r="Q253" s="261"/>
    </row>
    <row r="254" spans="1:17" x14ac:dyDescent="0.35">
      <c r="A254" s="81"/>
      <c r="B254" s="81">
        <v>2</v>
      </c>
      <c r="C254" s="83">
        <v>1</v>
      </c>
      <c r="D254" s="83" t="s">
        <v>69</v>
      </c>
      <c r="E254" s="99" t="s">
        <v>588</v>
      </c>
      <c r="F254" s="81" t="str">
        <f t="shared" ref="F254:F259" si="27">+F253</f>
        <v>CHI_GRA_SUM</v>
      </c>
      <c r="G254" s="143">
        <f>VLOOKUP(F254,Volumenes!$D$19:$G$346,4,FALSE)</f>
        <v>18.358095238095231</v>
      </c>
      <c r="H254" s="97"/>
      <c r="I254" s="98">
        <f>15/60</f>
        <v>0.25</v>
      </c>
      <c r="J254" s="110">
        <f>+I254*(1+Tiempos!$C$17)</f>
        <v>0.263125</v>
      </c>
      <c r="K254" s="98">
        <f t="shared" ref="K254:K259" si="28">+J254*G254</f>
        <v>4.8304738095238076</v>
      </c>
      <c r="L254" s="98">
        <f>+K254/Tiempos!$B$11</f>
        <v>1.050103002070393E-2</v>
      </c>
      <c r="M254" s="261">
        <f>+K254/Tiempos!$B$12</f>
        <v>5.2505150103519648E-3</v>
      </c>
      <c r="N254" s="238"/>
      <c r="O254" s="238"/>
      <c r="P254" s="238"/>
      <c r="Q254" s="261"/>
    </row>
    <row r="255" spans="1:17" x14ac:dyDescent="0.35">
      <c r="A255" s="92"/>
      <c r="B255" s="92">
        <v>2</v>
      </c>
      <c r="C255" s="100">
        <v>1</v>
      </c>
      <c r="D255" s="100" t="s">
        <v>69</v>
      </c>
      <c r="E255" s="101" t="s">
        <v>592</v>
      </c>
      <c r="F255" s="92" t="str">
        <f t="shared" si="27"/>
        <v>CHI_GRA_SUM</v>
      </c>
      <c r="G255" s="144">
        <f>VLOOKUP(F255,Volumenes!$D$19:$G$346,4,FALSE)</f>
        <v>18.358095238095231</v>
      </c>
      <c r="H255" s="102">
        <f>VLOOKUP(F255,Tiempos!$D$42:$F$228,2,FALSE)</f>
        <v>110</v>
      </c>
      <c r="I255" s="103">
        <f>VLOOKUP(F255,Tiempos!D61:F164,3,FALSE)</f>
        <v>0.94017094017094016</v>
      </c>
      <c r="J255" s="111">
        <f>+I255*(1+Tiempos!$C$17)</f>
        <v>0.98952991452991457</v>
      </c>
      <c r="K255" s="103">
        <f t="shared" si="28"/>
        <v>18.165884411884406</v>
      </c>
      <c r="L255" s="103">
        <f>+K255/Tiempos!$B$11</f>
        <v>3.9491053069313928E-2</v>
      </c>
      <c r="M255" s="262">
        <f>+K255/Tiempos!$B$12</f>
        <v>1.9745526534656964E-2</v>
      </c>
      <c r="N255" s="243"/>
      <c r="O255" s="243"/>
      <c r="P255" s="243"/>
      <c r="Q255" s="262"/>
    </row>
    <row r="256" spans="1:17" x14ac:dyDescent="0.35">
      <c r="A256" s="81"/>
      <c r="B256" s="81">
        <v>2</v>
      </c>
      <c r="C256" s="83">
        <v>1</v>
      </c>
      <c r="D256" s="83" t="s">
        <v>69</v>
      </c>
      <c r="E256" s="99" t="s">
        <v>589</v>
      </c>
      <c r="F256" s="81" t="str">
        <f t="shared" si="27"/>
        <v>CHI_GRA_SUM</v>
      </c>
      <c r="G256" s="143">
        <f>VLOOKUP(F256,Volumenes!$D$19:$G$346,4,FALSE)</f>
        <v>18.358095238095231</v>
      </c>
      <c r="H256" s="97"/>
      <c r="I256" s="98">
        <f>25/60</f>
        <v>0.41666666666666669</v>
      </c>
      <c r="J256" s="110">
        <f>+I256*(1+Tiempos!$C$17)</f>
        <v>0.43854166666666666</v>
      </c>
      <c r="K256" s="98">
        <f t="shared" si="28"/>
        <v>8.0507896825396799</v>
      </c>
      <c r="L256" s="98">
        <f>+K256/Tiempos!$B$11</f>
        <v>1.7501716701173217E-2</v>
      </c>
      <c r="M256" s="261">
        <f>+K256/Tiempos!$B$12</f>
        <v>8.7508583505866086E-3</v>
      </c>
      <c r="N256" s="238"/>
      <c r="O256" s="238"/>
      <c r="P256" s="238"/>
      <c r="Q256" s="261"/>
    </row>
    <row r="257" spans="1:34" x14ac:dyDescent="0.35">
      <c r="A257" s="81"/>
      <c r="B257" s="81">
        <v>2</v>
      </c>
      <c r="C257" s="83">
        <v>1</v>
      </c>
      <c r="D257" s="83" t="s">
        <v>69</v>
      </c>
      <c r="E257" s="99" t="s">
        <v>590</v>
      </c>
      <c r="F257" s="81" t="str">
        <f t="shared" si="27"/>
        <v>CHI_GRA_SUM</v>
      </c>
      <c r="G257" s="143">
        <f>VLOOKUP(F257,Volumenes!$D$19:$G$346,4,FALSE)</f>
        <v>18.358095238095231</v>
      </c>
      <c r="H257" s="97"/>
      <c r="I257" s="98">
        <f>35/60</f>
        <v>0.58333333333333337</v>
      </c>
      <c r="J257" s="110">
        <f>+I257*(1+Tiempos!$C$17)</f>
        <v>0.61395833333333338</v>
      </c>
      <c r="K257" s="98">
        <f t="shared" si="28"/>
        <v>11.271105555555552</v>
      </c>
      <c r="L257" s="98">
        <f>+K257/Tiempos!$B$11</f>
        <v>2.4502403381642505E-2</v>
      </c>
      <c r="M257" s="261">
        <f>+K257/Tiempos!$B$12</f>
        <v>1.2251201690821252E-2</v>
      </c>
      <c r="N257" s="238"/>
      <c r="O257" s="238"/>
      <c r="P257" s="238"/>
      <c r="Q257" s="261"/>
    </row>
    <row r="258" spans="1:34" x14ac:dyDescent="0.35">
      <c r="A258" s="81"/>
      <c r="B258" s="81">
        <v>2</v>
      </c>
      <c r="C258" s="83">
        <v>1</v>
      </c>
      <c r="D258" s="83" t="s">
        <v>69</v>
      </c>
      <c r="E258" s="99" t="s">
        <v>591</v>
      </c>
      <c r="F258" s="81" t="str">
        <f t="shared" si="27"/>
        <v>CHI_GRA_SUM</v>
      </c>
      <c r="G258" s="143">
        <f>VLOOKUP(F258,Volumenes!$D$19:$G$346,4,FALSE)</f>
        <v>18.358095238095231</v>
      </c>
      <c r="H258" s="97"/>
      <c r="I258" s="98">
        <f>35/60</f>
        <v>0.58333333333333337</v>
      </c>
      <c r="J258" s="110">
        <f>+I258*(1+Tiempos!$C$17)</f>
        <v>0.61395833333333338</v>
      </c>
      <c r="K258" s="98">
        <f t="shared" si="28"/>
        <v>11.271105555555552</v>
      </c>
      <c r="L258" s="98">
        <f>+K258/Tiempos!$B$11</f>
        <v>2.4502403381642505E-2</v>
      </c>
      <c r="M258" s="261">
        <f>+K258/Tiempos!$B$12</f>
        <v>1.2251201690821252E-2</v>
      </c>
      <c r="N258" s="238"/>
      <c r="O258" s="238"/>
      <c r="P258" s="238"/>
      <c r="Q258" s="261"/>
    </row>
    <row r="259" spans="1:34" x14ac:dyDescent="0.35">
      <c r="A259" s="81"/>
      <c r="B259" s="81">
        <v>2</v>
      </c>
      <c r="C259" s="83">
        <v>1</v>
      </c>
      <c r="D259" s="83" t="s">
        <v>69</v>
      </c>
      <c r="E259" s="99" t="s">
        <v>617</v>
      </c>
      <c r="F259" s="81" t="str">
        <f t="shared" si="27"/>
        <v>CHI_GRA_SUM</v>
      </c>
      <c r="G259" s="143">
        <f>VLOOKUP(F259,Volumenes!$D$19:$G$346,4,FALSE)</f>
        <v>18.358095238095231</v>
      </c>
      <c r="H259" s="97"/>
      <c r="I259" s="98">
        <f>50/60</f>
        <v>0.83333333333333337</v>
      </c>
      <c r="J259" s="110">
        <f>+I259*(1+Tiempos!$C$17)</f>
        <v>0.87708333333333333</v>
      </c>
      <c r="K259" s="98">
        <f t="shared" si="28"/>
        <v>16.10157936507936</v>
      </c>
      <c r="L259" s="98">
        <f>+K259/Tiempos!$B$11</f>
        <v>3.5003433402346434E-2</v>
      </c>
      <c r="M259" s="261">
        <f>+K259/Tiempos!$B$12</f>
        <v>1.7501716701173217E-2</v>
      </c>
      <c r="N259" s="238"/>
      <c r="O259" s="238"/>
      <c r="P259" s="238"/>
      <c r="Q259" s="261"/>
    </row>
    <row r="260" spans="1:34" x14ac:dyDescent="0.35">
      <c r="A260" s="92"/>
      <c r="B260" s="92">
        <v>2</v>
      </c>
      <c r="C260" s="100">
        <v>1</v>
      </c>
      <c r="D260" s="100" t="s">
        <v>69</v>
      </c>
      <c r="E260" s="101" t="s">
        <v>602</v>
      </c>
      <c r="F260" s="92" t="str">
        <f>+Volumenes!D183</f>
        <v>CHI_VAC_REC</v>
      </c>
      <c r="G260" s="144">
        <f>VLOOKUP(F260,Volumenes!$D$19:$G$346,4,FALSE)</f>
        <v>18.358095238095231</v>
      </c>
      <c r="H260" s="102">
        <f>VLOOKUP(F260,Tiempos!$D$42:$F$228,2,FALSE)</f>
        <v>115</v>
      </c>
      <c r="I260" s="103">
        <f>VLOOKUP(F260,Tiempos!D66:F169,3,FALSE)</f>
        <v>0.98290598290598297</v>
      </c>
      <c r="J260" s="111">
        <f>+I260*(1+Tiempos!$C$17)</f>
        <v>1.0345085470085471</v>
      </c>
      <c r="K260" s="103">
        <f>+J260*G260</f>
        <v>18.991606430606424</v>
      </c>
      <c r="L260" s="103">
        <f>+K260/Tiempos!$B$11</f>
        <v>4.1286100936100925E-2</v>
      </c>
      <c r="M260" s="262">
        <f>+K260/Tiempos!$B$12</f>
        <v>2.0643050468050463E-2</v>
      </c>
      <c r="N260" s="243"/>
      <c r="O260" s="243"/>
      <c r="P260" s="243"/>
      <c r="Q260" s="262"/>
    </row>
    <row r="261" spans="1:34" x14ac:dyDescent="0.35">
      <c r="A261" s="92"/>
      <c r="B261" s="92">
        <v>2</v>
      </c>
      <c r="C261" s="100">
        <v>1</v>
      </c>
      <c r="D261" s="100" t="s">
        <v>69</v>
      </c>
      <c r="E261" s="101" t="s">
        <v>616</v>
      </c>
      <c r="F261" s="92" t="s">
        <v>604</v>
      </c>
      <c r="G261" s="144">
        <f>VLOOKUP(F261,Volumenes!$D$19:$G$346,4,FALSE)</f>
        <v>18.358095238095231</v>
      </c>
      <c r="H261" s="102">
        <f>VLOOKUP(F261,Tiempos!$D$42:$F$228,2,FALSE)</f>
        <v>190</v>
      </c>
      <c r="I261" s="103">
        <f>VLOOKUP(F261,Tiempos!D67:F170,3,FALSE)</f>
        <v>1.6239316239316242</v>
      </c>
      <c r="J261" s="111">
        <f>+I261*(1+Tiempos!$C$17)</f>
        <v>1.7091880341880343</v>
      </c>
      <c r="K261" s="103">
        <f>+J261*G261</f>
        <v>31.377436711436701</v>
      </c>
      <c r="L261" s="103">
        <f>+K261/Tiempos!$B$11</f>
        <v>6.8211818937905871E-2</v>
      </c>
      <c r="M261" s="262">
        <f>+K261/Tiempos!$B$12</f>
        <v>3.4105909468952936E-2</v>
      </c>
      <c r="N261" s="243"/>
      <c r="O261" s="243"/>
      <c r="P261" s="243"/>
      <c r="Q261" s="262"/>
    </row>
    <row r="262" spans="1:34" x14ac:dyDescent="0.35">
      <c r="A262" s="75"/>
      <c r="B262" s="75"/>
      <c r="E262" s="104"/>
      <c r="F262" s="75"/>
      <c r="G262" s="108"/>
      <c r="H262" s="105"/>
      <c r="I262" s="106"/>
      <c r="J262" s="107"/>
      <c r="K262" s="109"/>
      <c r="L262" s="98">
        <f>SUM(L253:L261)</f>
        <v>0.26660050917520473</v>
      </c>
      <c r="M262" s="98">
        <f>SUM(M253:M261)</f>
        <v>0.13330025458760236</v>
      </c>
      <c r="N262" s="141"/>
      <c r="O262" s="141"/>
      <c r="P262" s="141"/>
      <c r="Q262" s="141"/>
    </row>
    <row r="263" spans="1:34" x14ac:dyDescent="0.35">
      <c r="A263" s="75"/>
      <c r="B263" s="75"/>
      <c r="E263" s="104"/>
      <c r="F263" s="75"/>
      <c r="G263" s="108"/>
      <c r="H263" s="105"/>
      <c r="I263" s="106"/>
      <c r="J263" s="107"/>
      <c r="K263" s="109"/>
      <c r="L263" s="109"/>
      <c r="M263" s="109"/>
      <c r="N263" s="249"/>
      <c r="O263" s="249"/>
      <c r="P263" s="249"/>
      <c r="Q263" s="249"/>
    </row>
    <row r="264" spans="1:34" ht="13.15" x14ac:dyDescent="0.4">
      <c r="A264" s="84" t="s">
        <v>626</v>
      </c>
      <c r="B264" s="84"/>
      <c r="C264" s="70"/>
      <c r="D264" s="70"/>
      <c r="E264" s="94"/>
      <c r="F264" s="80"/>
      <c r="G264" s="80"/>
      <c r="H264" s="80"/>
      <c r="I264" s="80"/>
      <c r="J264" s="80"/>
      <c r="K264" s="80"/>
      <c r="L264" s="80"/>
      <c r="R264" s="84"/>
      <c r="S264" s="84"/>
      <c r="T264" s="70"/>
      <c r="U264" s="70"/>
      <c r="V264" s="94"/>
      <c r="W264" s="80"/>
      <c r="X264" s="80"/>
      <c r="Y264" s="80"/>
      <c r="Z264" s="80"/>
      <c r="AA264" s="80"/>
      <c r="AB264" s="80"/>
      <c r="AC264" s="80"/>
      <c r="AD264" s="74"/>
      <c r="AE264" s="74"/>
      <c r="AF264" s="74"/>
      <c r="AG264" s="74"/>
      <c r="AH264" s="74"/>
    </row>
    <row r="265" spans="1:34" x14ac:dyDescent="0.35">
      <c r="A265" s="81"/>
      <c r="B265" s="81">
        <v>2</v>
      </c>
      <c r="C265" s="83">
        <v>1</v>
      </c>
      <c r="D265" s="83" t="s">
        <v>69</v>
      </c>
      <c r="E265" s="99" t="s">
        <v>587</v>
      </c>
      <c r="F265" s="81" t="str">
        <f>+Volumenes!D180</f>
        <v>CHI_SUM_L3</v>
      </c>
      <c r="G265" s="143">
        <f>VLOOKUP(F265,Volumenes!$D$19:$G$346,4,FALSE)</f>
        <v>4.8709206349206351</v>
      </c>
      <c r="H265" s="97"/>
      <c r="I265" s="98">
        <f>8/60</f>
        <v>0.13333333333333333</v>
      </c>
      <c r="J265" s="110">
        <f>+I265*(1+Tiempos!$C$17)</f>
        <v>0.14033333333333334</v>
      </c>
      <c r="K265" s="98">
        <f>+J265*G265</f>
        <v>0.6835525291005291</v>
      </c>
      <c r="L265" s="98">
        <f>+K265/Tiempos!$B$11</f>
        <v>1.4859837589141936E-3</v>
      </c>
      <c r="M265" s="261">
        <f>+K265/Tiempos!$B$12</f>
        <v>7.429918794570968E-4</v>
      </c>
      <c r="N265" s="238"/>
      <c r="O265" s="238"/>
      <c r="P265" s="238"/>
      <c r="Q265" s="261"/>
      <c r="R265" s="75"/>
      <c r="S265" s="75"/>
      <c r="T265" s="44"/>
      <c r="U265" s="44"/>
      <c r="V265" s="104"/>
      <c r="W265" s="75"/>
      <c r="X265" s="152"/>
      <c r="Y265" s="105"/>
      <c r="Z265" s="109"/>
      <c r="AA265" s="107"/>
      <c r="AB265" s="109"/>
      <c r="AC265" s="109"/>
      <c r="AD265" s="64"/>
      <c r="AE265" s="74"/>
      <c r="AF265" s="74"/>
      <c r="AG265" s="74"/>
      <c r="AH265" s="64"/>
    </row>
    <row r="266" spans="1:34" x14ac:dyDescent="0.35">
      <c r="A266" s="81"/>
      <c r="B266" s="81">
        <v>2</v>
      </c>
      <c r="C266" s="83">
        <v>1</v>
      </c>
      <c r="D266" s="83" t="s">
        <v>69</v>
      </c>
      <c r="E266" s="99" t="s">
        <v>588</v>
      </c>
      <c r="F266" s="81" t="str">
        <f>+F265</f>
        <v>CHI_SUM_L3</v>
      </c>
      <c r="G266" s="143">
        <f>VLOOKUP(F266,Volumenes!$D$19:$G$346,4,FALSE)</f>
        <v>4.8709206349206351</v>
      </c>
      <c r="H266" s="97"/>
      <c r="I266" s="98">
        <f>15/60</f>
        <v>0.25</v>
      </c>
      <c r="J266" s="110">
        <f>+I266*(1+Tiempos!$C$17)</f>
        <v>0.263125</v>
      </c>
      <c r="K266" s="98">
        <f t="shared" ref="K266:K269" si="29">+J266*G266</f>
        <v>1.281660992063492</v>
      </c>
      <c r="L266" s="98">
        <f>+K266/Tiempos!$B$11</f>
        <v>2.7862195479641133E-3</v>
      </c>
      <c r="M266" s="261">
        <f>+K266/Tiempos!$B$12</f>
        <v>1.3931097739820566E-3</v>
      </c>
      <c r="N266" s="238"/>
      <c r="O266" s="238"/>
      <c r="P266" s="238"/>
      <c r="Q266" s="261"/>
      <c r="R266" s="75"/>
      <c r="S266" s="75"/>
      <c r="T266" s="44"/>
      <c r="U266" s="44"/>
      <c r="V266" s="104"/>
      <c r="W266" s="75"/>
      <c r="X266" s="152"/>
      <c r="Y266" s="105"/>
      <c r="Z266" s="109"/>
      <c r="AA266" s="107"/>
      <c r="AB266" s="109"/>
      <c r="AC266" s="109"/>
      <c r="AD266" s="64"/>
      <c r="AE266" s="74"/>
      <c r="AF266" s="74"/>
      <c r="AG266" s="74"/>
      <c r="AH266" s="64"/>
    </row>
    <row r="267" spans="1:34" x14ac:dyDescent="0.35">
      <c r="A267" s="92"/>
      <c r="B267" s="92">
        <v>2</v>
      </c>
      <c r="C267" s="100">
        <v>1</v>
      </c>
      <c r="D267" s="100" t="s">
        <v>69</v>
      </c>
      <c r="E267" s="101" t="s">
        <v>614</v>
      </c>
      <c r="F267" s="92" t="str">
        <f>+F266</f>
        <v>CHI_SUM_L3</v>
      </c>
      <c r="G267" s="144">
        <f>VLOOKUP(F267,Volumenes!$D$19:$G$346,4,FALSE)</f>
        <v>4.8709206349206351</v>
      </c>
      <c r="H267" s="102">
        <f>VLOOKUP(F267,Tiempos!$D$42:$F$228,2,FALSE)</f>
        <v>155</v>
      </c>
      <c r="I267" s="103">
        <f>VLOOKUP(F267,Tiempos!D74:F176,3,FALSE)</f>
        <v>1.3247863247863247</v>
      </c>
      <c r="J267" s="111">
        <f>+I267*(1+Tiempos!$C$17)</f>
        <v>1.3943376068376068</v>
      </c>
      <c r="K267" s="103">
        <f t="shared" si="29"/>
        <v>6.7917078211911548</v>
      </c>
      <c r="L267" s="103">
        <f>+K267/Tiempos!$B$11</f>
        <v>1.4764582219980771E-2</v>
      </c>
      <c r="M267" s="262">
        <f>+K267/Tiempos!$B$12</f>
        <v>7.3822911099903857E-3</v>
      </c>
      <c r="N267" s="243"/>
      <c r="O267" s="243"/>
      <c r="P267" s="243"/>
      <c r="Q267" s="262"/>
      <c r="R267" s="75"/>
      <c r="S267" s="75"/>
      <c r="T267" s="44"/>
      <c r="U267" s="44"/>
      <c r="V267" s="104"/>
      <c r="W267" s="75"/>
      <c r="X267" s="152"/>
      <c r="Y267" s="105"/>
      <c r="Z267" s="109"/>
      <c r="AA267" s="107"/>
      <c r="AB267" s="109"/>
      <c r="AC267" s="109"/>
      <c r="AD267" s="64"/>
      <c r="AE267" s="74"/>
      <c r="AF267" s="74"/>
      <c r="AG267" s="74"/>
      <c r="AH267" s="64"/>
    </row>
    <row r="268" spans="1:34" x14ac:dyDescent="0.35">
      <c r="A268" s="81"/>
      <c r="B268" s="81">
        <v>2</v>
      </c>
      <c r="C268" s="83">
        <v>1</v>
      </c>
      <c r="D268" s="83" t="s">
        <v>69</v>
      </c>
      <c r="E268" s="99" t="s">
        <v>613</v>
      </c>
      <c r="F268" s="81" t="str">
        <f>+F267</f>
        <v>CHI_SUM_L3</v>
      </c>
      <c r="G268" s="143">
        <f>VLOOKUP(F268,Volumenes!$D$19:$G$346,4,FALSE)</f>
        <v>4.8709206349206351</v>
      </c>
      <c r="H268" s="97"/>
      <c r="I268" s="98">
        <f>25/60</f>
        <v>0.41666666666666669</v>
      </c>
      <c r="J268" s="110">
        <f>+I268*(1+Tiempos!$C$17)</f>
        <v>0.43854166666666666</v>
      </c>
      <c r="K268" s="98">
        <f t="shared" si="29"/>
        <v>2.1361016534391535</v>
      </c>
      <c r="L268" s="98">
        <f>+K268/Tiempos!$B$11</f>
        <v>4.643699246606855E-3</v>
      </c>
      <c r="M268" s="261">
        <f>+K268/Tiempos!$B$12</f>
        <v>2.3218496233034275E-3</v>
      </c>
      <c r="N268" s="238"/>
      <c r="O268" s="238"/>
      <c r="P268" s="238"/>
      <c r="Q268" s="261"/>
      <c r="R268" s="75"/>
      <c r="S268" s="75"/>
      <c r="T268" s="44"/>
      <c r="U268" s="44"/>
      <c r="V268" s="104"/>
      <c r="W268" s="75"/>
      <c r="X268" s="152"/>
      <c r="Y268" s="105"/>
      <c r="Z268" s="109"/>
      <c r="AA268" s="107"/>
      <c r="AB268" s="109"/>
      <c r="AC268" s="109"/>
      <c r="AD268" s="64"/>
      <c r="AE268" s="74"/>
      <c r="AF268" s="74"/>
      <c r="AG268" s="74"/>
      <c r="AH268" s="64"/>
    </row>
    <row r="269" spans="1:34" x14ac:dyDescent="0.35">
      <c r="A269" s="81"/>
      <c r="B269" s="81">
        <v>2</v>
      </c>
      <c r="C269" s="83">
        <v>1</v>
      </c>
      <c r="D269" s="83" t="s">
        <v>69</v>
      </c>
      <c r="E269" s="99" t="s">
        <v>615</v>
      </c>
      <c r="F269" s="81" t="str">
        <f>+Volumenes!D119</f>
        <v>SUM_CHI_L3</v>
      </c>
      <c r="G269" s="143">
        <f>VLOOKUP(F269,Volumenes!$D$19:$G$346,4,FALSE)</f>
        <v>1</v>
      </c>
      <c r="H269" s="97"/>
      <c r="I269" s="98">
        <f>50/60</f>
        <v>0.83333333333333337</v>
      </c>
      <c r="J269" s="110">
        <f>+I269*(1+Tiempos!$C$17)</f>
        <v>0.87708333333333333</v>
      </c>
      <c r="K269" s="98">
        <f t="shared" si="29"/>
        <v>0.87708333333333333</v>
      </c>
      <c r="L269" s="98">
        <f>+K269/Tiempos!$B$11</f>
        <v>1.9067028985507246E-3</v>
      </c>
      <c r="M269" s="261">
        <f>+K269/Tiempos!$B$12</f>
        <v>9.5335144927536232E-4</v>
      </c>
      <c r="N269" s="238"/>
      <c r="O269" s="238"/>
      <c r="P269" s="238"/>
      <c r="Q269" s="261"/>
      <c r="R269" s="75"/>
      <c r="S269" s="75"/>
      <c r="T269" s="44"/>
      <c r="U269" s="44"/>
      <c r="V269" s="104"/>
      <c r="W269" s="75"/>
      <c r="X269" s="152"/>
      <c r="Y269" s="105"/>
      <c r="Z269" s="109"/>
      <c r="AA269" s="107"/>
      <c r="AB269" s="109"/>
      <c r="AC269" s="109"/>
      <c r="AD269" s="64"/>
      <c r="AE269" s="74"/>
      <c r="AF269" s="74"/>
      <c r="AG269" s="74"/>
      <c r="AH269" s="64"/>
    </row>
    <row r="270" spans="1:34" x14ac:dyDescent="0.35">
      <c r="A270" s="92"/>
      <c r="B270" s="92">
        <v>2</v>
      </c>
      <c r="C270" s="100">
        <v>1</v>
      </c>
      <c r="D270" s="100" t="s">
        <v>69</v>
      </c>
      <c r="E270" s="101" t="s">
        <v>602</v>
      </c>
      <c r="F270" s="92" t="str">
        <f>+Volumenes!D119</f>
        <v>SUM_CHI_L3</v>
      </c>
      <c r="G270" s="144">
        <f>VLOOKUP(F270,Volumenes!$D$19:$G$346,4,FALSE)</f>
        <v>1</v>
      </c>
      <c r="H270" s="102">
        <v>65</v>
      </c>
      <c r="I270" s="103">
        <f>+(H270/Tiempos!B29)/60</f>
        <v>0.55555555555555558</v>
      </c>
      <c r="J270" s="111">
        <f>+I270*(1+Tiempos!$C$17)</f>
        <v>0.58472222222222225</v>
      </c>
      <c r="K270" s="103">
        <f>+J270*G270</f>
        <v>0.58472222222222225</v>
      </c>
      <c r="L270" s="103">
        <f>+K270/Tiempos!$B$11</f>
        <v>1.2711352657004832E-3</v>
      </c>
      <c r="M270" s="262">
        <f>+K270/Tiempos!$B$12</f>
        <v>6.3556763285024158E-4</v>
      </c>
      <c r="N270" s="243"/>
      <c r="O270" s="243"/>
      <c r="P270" s="243"/>
      <c r="Q270" s="262"/>
      <c r="R270" s="75"/>
      <c r="S270" s="75"/>
      <c r="T270" s="44"/>
      <c r="U270" s="44"/>
      <c r="V270" s="104"/>
      <c r="W270" s="75"/>
      <c r="X270" s="152"/>
      <c r="Y270" s="105"/>
      <c r="Z270" s="109"/>
      <c r="AA270" s="107"/>
      <c r="AB270" s="109"/>
      <c r="AC270" s="109"/>
      <c r="AD270" s="64"/>
      <c r="AE270" s="74"/>
      <c r="AF270" s="74"/>
      <c r="AG270" s="74"/>
      <c r="AH270" s="64"/>
    </row>
    <row r="271" spans="1:34" x14ac:dyDescent="0.35">
      <c r="A271" s="92"/>
      <c r="B271" s="92">
        <v>2</v>
      </c>
      <c r="C271" s="100">
        <v>1</v>
      </c>
      <c r="D271" s="100" t="s">
        <v>69</v>
      </c>
      <c r="E271" s="101" t="s">
        <v>616</v>
      </c>
      <c r="F271" s="92" t="str">
        <f>+F267</f>
        <v>CHI_SUM_L3</v>
      </c>
      <c r="G271" s="144">
        <f>VLOOKUP(F271,Volumenes!$D$19:$G$346,4,FALSE)</f>
        <v>4.8709206349206351</v>
      </c>
      <c r="H271" s="102">
        <f>VLOOKUP(F271,Tiempos!$D$42:$F$228,2,FALSE)</f>
        <v>155</v>
      </c>
      <c r="I271" s="103">
        <f>VLOOKUP(F271,Tiempos!D80:F182,3,FALSE)</f>
        <v>1.3247863247863247</v>
      </c>
      <c r="J271" s="111">
        <f>+I271*(1+Tiempos!$C$17)</f>
        <v>1.3943376068376068</v>
      </c>
      <c r="K271" s="103">
        <f>+J271*G271</f>
        <v>6.7917078211911548</v>
      </c>
      <c r="L271" s="103">
        <f>+K271/Tiempos!$B$11</f>
        <v>1.4764582219980771E-2</v>
      </c>
      <c r="M271" s="262">
        <f>+K271/Tiempos!$B$12</f>
        <v>7.3822911099903857E-3</v>
      </c>
      <c r="N271" s="243"/>
      <c r="O271" s="243"/>
      <c r="P271" s="243"/>
      <c r="Q271" s="262"/>
      <c r="R271" s="75"/>
      <c r="S271" s="75"/>
      <c r="T271" s="44"/>
      <c r="U271" s="44"/>
      <c r="V271" s="104"/>
      <c r="W271" s="75"/>
      <c r="X271" s="152"/>
      <c r="Y271" s="105"/>
      <c r="Z271" s="109"/>
      <c r="AA271" s="107"/>
      <c r="AB271" s="109"/>
      <c r="AC271" s="109"/>
      <c r="AD271" s="64"/>
      <c r="AE271" s="74"/>
      <c r="AF271" s="74"/>
      <c r="AG271" s="74"/>
      <c r="AH271" s="64"/>
    </row>
    <row r="272" spans="1:34" x14ac:dyDescent="0.35">
      <c r="A272" s="81"/>
      <c r="B272" s="81">
        <v>2</v>
      </c>
      <c r="C272" s="83">
        <v>1</v>
      </c>
      <c r="D272" s="83" t="s">
        <v>333</v>
      </c>
      <c r="E272" s="99" t="s">
        <v>623</v>
      </c>
      <c r="F272" s="81" t="str">
        <f t="shared" ref="F272:F273" si="30">+F271</f>
        <v>CHI_SUM_L3</v>
      </c>
      <c r="G272" s="143">
        <f>VLOOKUP(F272,Volumenes!$D$19:$G$346,4,FALSE)</f>
        <v>4.8709206349206351</v>
      </c>
      <c r="H272" s="97"/>
      <c r="I272" s="98">
        <f>8/60</f>
        <v>0.13333333333333333</v>
      </c>
      <c r="J272" s="110">
        <f>+I272*(1+Tiempos!$C$17)</f>
        <v>0.14033333333333334</v>
      </c>
      <c r="K272" s="98">
        <f t="shared" ref="K272:K273" si="31">+J272*G272</f>
        <v>0.6835525291005291</v>
      </c>
      <c r="L272" s="98">
        <f>+K272/Tiempos!$B$11</f>
        <v>1.4859837589141936E-3</v>
      </c>
      <c r="M272" s="261">
        <f>+K272/Tiempos!$B$12</f>
        <v>7.429918794570968E-4</v>
      </c>
      <c r="N272" s="238"/>
      <c r="O272" s="238"/>
      <c r="P272" s="238"/>
      <c r="Q272" s="261"/>
    </row>
    <row r="273" spans="1:34" x14ac:dyDescent="0.35">
      <c r="A273" s="81"/>
      <c r="B273" s="81">
        <v>2</v>
      </c>
      <c r="C273" s="83">
        <v>1</v>
      </c>
      <c r="D273" s="83" t="s">
        <v>333</v>
      </c>
      <c r="E273" s="99" t="s">
        <v>624</v>
      </c>
      <c r="F273" s="81" t="str">
        <f t="shared" si="30"/>
        <v>CHI_SUM_L3</v>
      </c>
      <c r="G273" s="143">
        <f>VLOOKUP(F273,Volumenes!$D$19:$G$346,4,FALSE)</f>
        <v>4.8709206349206351</v>
      </c>
      <c r="H273" s="97"/>
      <c r="I273" s="98">
        <f>8/60</f>
        <v>0.13333333333333333</v>
      </c>
      <c r="J273" s="110">
        <f>+I273*(1+Tiempos!$C$17)</f>
        <v>0.14033333333333334</v>
      </c>
      <c r="K273" s="98">
        <f t="shared" si="31"/>
        <v>0.6835525291005291</v>
      </c>
      <c r="L273" s="98">
        <f>+K273/Tiempos!$B$11</f>
        <v>1.4859837589141936E-3</v>
      </c>
      <c r="M273" s="261">
        <f>+K273/Tiempos!$B$12</f>
        <v>7.429918794570968E-4</v>
      </c>
      <c r="N273" s="238"/>
      <c r="O273" s="238"/>
      <c r="P273" s="238"/>
      <c r="Q273" s="261"/>
    </row>
    <row r="274" spans="1:34" x14ac:dyDescent="0.35">
      <c r="A274" s="75"/>
      <c r="B274" s="75"/>
      <c r="E274" s="104"/>
      <c r="F274" s="75"/>
      <c r="G274" s="108"/>
      <c r="H274" s="105"/>
      <c r="I274" s="106"/>
      <c r="J274" s="107"/>
      <c r="K274" s="109"/>
      <c r="L274" s="98">
        <f>SUM(L265:L273)</f>
        <v>4.4594872675526295E-2</v>
      </c>
      <c r="M274" s="98">
        <f>SUM(M265:M273)</f>
        <v>2.2297436337763148E-2</v>
      </c>
      <c r="N274" s="141"/>
      <c r="O274" s="141"/>
      <c r="P274" s="141"/>
      <c r="Q274" s="141"/>
      <c r="R274" s="75"/>
      <c r="S274" s="75"/>
      <c r="T274" s="44"/>
      <c r="U274" s="44"/>
      <c r="V274" s="104"/>
      <c r="W274" s="75"/>
      <c r="X274" s="152"/>
      <c r="Y274" s="105"/>
      <c r="Z274" s="109"/>
      <c r="AA274" s="107"/>
      <c r="AB274" s="109"/>
      <c r="AC274" s="109"/>
      <c r="AD274" s="64"/>
      <c r="AE274" s="74"/>
      <c r="AF274" s="74"/>
      <c r="AG274" s="74"/>
      <c r="AH274" s="64"/>
    </row>
    <row r="275" spans="1:34" x14ac:dyDescent="0.35">
      <c r="A275" s="75"/>
      <c r="B275" s="75"/>
      <c r="E275" s="104"/>
      <c r="F275" s="75"/>
      <c r="G275" s="108"/>
      <c r="H275" s="105"/>
      <c r="I275" s="106"/>
      <c r="J275" s="107"/>
      <c r="K275" s="109"/>
      <c r="L275" s="109"/>
      <c r="M275" s="109"/>
      <c r="N275" s="249"/>
      <c r="O275" s="249"/>
      <c r="P275" s="249"/>
      <c r="Q275" s="109"/>
    </row>
    <row r="276" spans="1:34" ht="13.15" x14ac:dyDescent="0.4">
      <c r="A276" s="84" t="s">
        <v>627</v>
      </c>
      <c r="B276" s="84"/>
      <c r="C276" s="70"/>
      <c r="D276" s="70"/>
      <c r="E276" s="94"/>
      <c r="F276" s="80"/>
      <c r="G276" s="80"/>
      <c r="H276" s="80"/>
      <c r="I276" s="80"/>
      <c r="J276" s="80"/>
      <c r="K276" s="80"/>
      <c r="L276" s="80"/>
    </row>
    <row r="277" spans="1:34" x14ac:dyDescent="0.35">
      <c r="A277" s="81"/>
      <c r="B277" s="81">
        <v>2</v>
      </c>
      <c r="C277" s="83">
        <v>1</v>
      </c>
      <c r="D277" s="83" t="s">
        <v>46</v>
      </c>
      <c r="E277" s="99" t="s">
        <v>303</v>
      </c>
      <c r="F277" s="81" t="s">
        <v>311</v>
      </c>
      <c r="G277" s="180">
        <f>VLOOKUP(F277,Volumenes!$D$19:$G$346,4,FALSE)</f>
        <v>2</v>
      </c>
      <c r="H277" s="97"/>
      <c r="I277" s="98">
        <f>5/60</f>
        <v>8.3333333333333329E-2</v>
      </c>
      <c r="J277" s="110">
        <f>+I277*(1+Tiempos!$C$17)</f>
        <v>8.7708333333333333E-2</v>
      </c>
      <c r="K277" s="98">
        <f t="shared" ref="K277:K285" si="32">+J277*G277</f>
        <v>0.17541666666666667</v>
      </c>
      <c r="L277" s="98">
        <f>+K277/Tiempos!$B$11</f>
        <v>3.8134057971014494E-4</v>
      </c>
      <c r="M277" s="238"/>
      <c r="N277" s="238"/>
      <c r="O277" s="238"/>
      <c r="P277" s="238"/>
      <c r="Q277" s="238"/>
    </row>
    <row r="278" spans="1:34" x14ac:dyDescent="0.35">
      <c r="A278" s="92"/>
      <c r="B278" s="92">
        <v>2</v>
      </c>
      <c r="C278" s="100">
        <v>1</v>
      </c>
      <c r="D278" s="100" t="s">
        <v>46</v>
      </c>
      <c r="E278" s="101" t="s">
        <v>315</v>
      </c>
      <c r="F278" s="92" t="s">
        <v>317</v>
      </c>
      <c r="G278" s="102">
        <f>VLOOKUP(F278,Volumenes!$D$19:$G$346,4,FALSE)</f>
        <v>2</v>
      </c>
      <c r="H278" s="102">
        <v>30</v>
      </c>
      <c r="I278" s="103">
        <f>+(H278/Tiempos!B28)/60</f>
        <v>0.33967391304347827</v>
      </c>
      <c r="J278" s="111">
        <f>+I278*(1+Tiempos!$C$17)</f>
        <v>0.35750679347826086</v>
      </c>
      <c r="K278" s="103">
        <f t="shared" si="32"/>
        <v>0.71501358695652173</v>
      </c>
      <c r="L278" s="103">
        <f>+K278/Tiempos!$B$11</f>
        <v>1.5543773629489602E-3</v>
      </c>
      <c r="M278" s="243"/>
      <c r="N278" s="243"/>
      <c r="O278" s="243"/>
      <c r="P278" s="243"/>
      <c r="Q278" s="243"/>
    </row>
    <row r="279" spans="1:34" x14ac:dyDescent="0.35">
      <c r="A279" s="92"/>
      <c r="B279" s="92">
        <v>2</v>
      </c>
      <c r="C279" s="100">
        <v>1</v>
      </c>
      <c r="D279" s="100" t="s">
        <v>46</v>
      </c>
      <c r="E279" s="101" t="s">
        <v>305</v>
      </c>
      <c r="F279" s="92" t="s">
        <v>311</v>
      </c>
      <c r="G279" s="102">
        <f>VLOOKUP(F279,Volumenes!$D$19:$G$346,4,FALSE)</f>
        <v>2</v>
      </c>
      <c r="H279" s="102">
        <f>+Tiempos!E83</f>
        <v>250</v>
      </c>
      <c r="I279" s="103">
        <f>+Tiempos!F83</f>
        <v>2.1367521367521367</v>
      </c>
      <c r="J279" s="111">
        <f>+I279*(1+Tiempos!$C$17)</f>
        <v>2.2489316239316239</v>
      </c>
      <c r="K279" s="103">
        <f t="shared" si="32"/>
        <v>4.4978632478632479</v>
      </c>
      <c r="L279" s="103">
        <f>+K279/Tiempos!$B$11</f>
        <v>9.7779635823114081E-3</v>
      </c>
      <c r="M279" s="243"/>
      <c r="N279" s="243"/>
      <c r="O279" s="243"/>
      <c r="P279" s="243"/>
      <c r="Q279" s="243"/>
    </row>
    <row r="280" spans="1:34" x14ac:dyDescent="0.35">
      <c r="A280" s="81"/>
      <c r="B280" s="81">
        <v>2</v>
      </c>
      <c r="C280" s="83">
        <v>1</v>
      </c>
      <c r="D280" s="83" t="s">
        <v>46</v>
      </c>
      <c r="E280" s="99" t="s">
        <v>304</v>
      </c>
      <c r="F280" s="81" t="s">
        <v>313</v>
      </c>
      <c r="G280" s="143">
        <f>VLOOKUP(F280,Volumenes!$D$19:$G$346,4,FALSE)</f>
        <v>6.3136888572916536</v>
      </c>
      <c r="H280" s="97"/>
      <c r="I280" s="98">
        <f>10/60</f>
        <v>0.16666666666666666</v>
      </c>
      <c r="J280" s="110">
        <f>+I280*(1+Tiempos!$C$17)</f>
        <v>0.17541666666666667</v>
      </c>
      <c r="K280" s="98">
        <f t="shared" si="32"/>
        <v>1.1075262537165775</v>
      </c>
      <c r="L280" s="98">
        <f>+K280/Tiempos!$B$11</f>
        <v>2.4076657689490817E-3</v>
      </c>
      <c r="M280" s="238"/>
      <c r="N280" s="238"/>
      <c r="O280" s="238"/>
      <c r="P280" s="238"/>
      <c r="Q280" s="238"/>
    </row>
    <row r="281" spans="1:34" x14ac:dyDescent="0.35">
      <c r="A281" s="81"/>
      <c r="B281" s="81">
        <v>2</v>
      </c>
      <c r="C281" s="83">
        <v>1</v>
      </c>
      <c r="D281" s="83" t="s">
        <v>46</v>
      </c>
      <c r="E281" s="99" t="s">
        <v>306</v>
      </c>
      <c r="F281" s="81" t="s">
        <v>313</v>
      </c>
      <c r="G281" s="143">
        <f>VLOOKUP(F281,Volumenes!$D$19:$G$346,4,FALSE)</f>
        <v>6.3136888572916536</v>
      </c>
      <c r="H281" s="97"/>
      <c r="I281" s="98">
        <f>40/60</f>
        <v>0.66666666666666663</v>
      </c>
      <c r="J281" s="110">
        <f>+I281*(1+Tiempos!$C$17)</f>
        <v>0.70166666666666666</v>
      </c>
      <c r="K281" s="98">
        <f t="shared" si="32"/>
        <v>4.4301050148663101</v>
      </c>
      <c r="L281" s="98">
        <f>+K281/Tiempos!$B$11</f>
        <v>9.6306630757963269E-3</v>
      </c>
      <c r="M281" s="238"/>
      <c r="N281" s="238"/>
      <c r="O281" s="238"/>
      <c r="P281" s="238"/>
      <c r="Q281" s="238"/>
    </row>
    <row r="282" spans="1:34" x14ac:dyDescent="0.35">
      <c r="A282" s="92"/>
      <c r="B282" s="92">
        <v>2</v>
      </c>
      <c r="C282" s="100">
        <v>1</v>
      </c>
      <c r="D282" s="100" t="s">
        <v>46</v>
      </c>
      <c r="E282" s="101" t="s">
        <v>307</v>
      </c>
      <c r="F282" s="92" t="s">
        <v>311</v>
      </c>
      <c r="G282" s="102">
        <f>VLOOKUP(F282,Volumenes!$D$19:$G$346,4,FALSE)</f>
        <v>2</v>
      </c>
      <c r="H282" s="102">
        <f>+Tiempos!E83</f>
        <v>250</v>
      </c>
      <c r="I282" s="103">
        <f>+Tiempos!F83</f>
        <v>2.1367521367521367</v>
      </c>
      <c r="J282" s="111">
        <f>+I282*(1+Tiempos!$C$17)</f>
        <v>2.2489316239316239</v>
      </c>
      <c r="K282" s="103">
        <f t="shared" si="32"/>
        <v>4.4978632478632479</v>
      </c>
      <c r="L282" s="103">
        <f>+K282/Tiempos!$B$11</f>
        <v>9.7779635823114081E-3</v>
      </c>
      <c r="M282" s="243"/>
      <c r="N282" s="243"/>
      <c r="O282" s="243"/>
      <c r="P282" s="243"/>
      <c r="Q282" s="243"/>
    </row>
    <row r="283" spans="1:34" x14ac:dyDescent="0.35">
      <c r="A283" s="81"/>
      <c r="B283" s="81">
        <v>2</v>
      </c>
      <c r="C283" s="83">
        <v>1</v>
      </c>
      <c r="D283" s="83" t="s">
        <v>46</v>
      </c>
      <c r="E283" s="99" t="s">
        <v>308</v>
      </c>
      <c r="F283" s="81" t="str">
        <f t="shared" ref="F283:F285" si="33">+F280</f>
        <v>CAJ_WURTH8.1</v>
      </c>
      <c r="G283" s="143">
        <f>VLOOKUP(F283,Volumenes!$D$19:$G$346,4,FALSE)</f>
        <v>6.3136888572916536</v>
      </c>
      <c r="H283" s="97"/>
      <c r="I283" s="98">
        <f>35/60</f>
        <v>0.58333333333333337</v>
      </c>
      <c r="J283" s="110">
        <f>+I283*(1+Tiempos!$C$17)</f>
        <v>0.61395833333333338</v>
      </c>
      <c r="K283" s="98">
        <f t="shared" si="32"/>
        <v>3.8763418880080218</v>
      </c>
      <c r="L283" s="98">
        <f>+K283/Tiempos!$B$11</f>
        <v>8.4268301913217863E-3</v>
      </c>
      <c r="M283" s="246"/>
      <c r="N283" s="246"/>
      <c r="O283" s="246"/>
      <c r="P283" s="246"/>
      <c r="Q283" s="246"/>
    </row>
    <row r="284" spans="1:34" x14ac:dyDescent="0.35">
      <c r="A284" s="81"/>
      <c r="B284" s="81">
        <v>2</v>
      </c>
      <c r="C284" s="83">
        <v>1</v>
      </c>
      <c r="D284" s="83" t="s">
        <v>46</v>
      </c>
      <c r="E284" s="99" t="s">
        <v>309</v>
      </c>
      <c r="F284" s="81" t="str">
        <f t="shared" si="33"/>
        <v>CAJ_WURTH8.1</v>
      </c>
      <c r="G284" s="143">
        <f>VLOOKUP(F284,Volumenes!$D$19:$G$346,4,FALSE)</f>
        <v>6.3136888572916536</v>
      </c>
      <c r="H284" s="97"/>
      <c r="I284" s="98">
        <f>15/60</f>
        <v>0.25</v>
      </c>
      <c r="J284" s="110">
        <f>+I284*(1+Tiempos!$C$17)</f>
        <v>0.263125</v>
      </c>
      <c r="K284" s="98">
        <f t="shared" si="32"/>
        <v>1.6612893805748663</v>
      </c>
      <c r="L284" s="98">
        <f>+K284/Tiempos!$B$11</f>
        <v>3.6114986534236224E-3</v>
      </c>
      <c r="M284" s="246"/>
      <c r="N284" s="246"/>
      <c r="O284" s="246"/>
      <c r="P284" s="246"/>
      <c r="Q284" s="246"/>
    </row>
    <row r="285" spans="1:34" x14ac:dyDescent="0.35">
      <c r="A285" s="81"/>
      <c r="B285" s="81">
        <v>2</v>
      </c>
      <c r="C285" s="83">
        <v>1</v>
      </c>
      <c r="D285" s="83" t="s">
        <v>46</v>
      </c>
      <c r="E285" s="99" t="s">
        <v>310</v>
      </c>
      <c r="F285" s="81" t="str">
        <f t="shared" si="33"/>
        <v>MOV_WURTH8.1</v>
      </c>
      <c r="G285" s="180">
        <f>VLOOKUP(F285,Volumenes!$D$19:$G$346,4,FALSE)</f>
        <v>2</v>
      </c>
      <c r="H285" s="97"/>
      <c r="I285" s="98">
        <f>10/60</f>
        <v>0.16666666666666666</v>
      </c>
      <c r="J285" s="110">
        <f>+I285*(1+Tiempos!$C$17)</f>
        <v>0.17541666666666667</v>
      </c>
      <c r="K285" s="98">
        <f t="shared" si="32"/>
        <v>0.35083333333333333</v>
      </c>
      <c r="L285" s="98">
        <f>+K285/Tiempos!$B$11</f>
        <v>7.6268115942028987E-4</v>
      </c>
      <c r="M285" s="246"/>
      <c r="N285" s="246"/>
      <c r="O285" s="246"/>
      <c r="P285" s="246"/>
      <c r="Q285" s="246"/>
    </row>
    <row r="286" spans="1:34" x14ac:dyDescent="0.35">
      <c r="A286" s="75"/>
      <c r="B286" s="75"/>
      <c r="E286" s="104"/>
      <c r="F286" s="75"/>
      <c r="G286" s="152"/>
      <c r="H286" s="105"/>
      <c r="I286" s="109"/>
      <c r="J286" s="107"/>
      <c r="K286" s="109"/>
      <c r="L286" s="98">
        <f>SUM(L277:L285)</f>
        <v>4.6330983956193034E-2</v>
      </c>
      <c r="M286" s="98">
        <f t="shared" ref="M286:Q286" si="34">SUM(M277:M285)</f>
        <v>0</v>
      </c>
      <c r="N286" s="98">
        <f t="shared" si="34"/>
        <v>0</v>
      </c>
      <c r="O286" s="98"/>
      <c r="P286" s="98">
        <f t="shared" si="34"/>
        <v>0</v>
      </c>
      <c r="Q286" s="98">
        <f t="shared" si="34"/>
        <v>0</v>
      </c>
    </row>
    <row r="287" spans="1:34" x14ac:dyDescent="0.35">
      <c r="A287" s="75"/>
      <c r="B287" s="75"/>
      <c r="E287" s="104"/>
      <c r="F287" s="75"/>
      <c r="G287" s="152"/>
      <c r="H287" s="105"/>
      <c r="I287" s="109"/>
      <c r="J287" s="107"/>
      <c r="K287" s="109"/>
      <c r="L287" s="109"/>
      <c r="M287" s="191"/>
      <c r="N287" s="191"/>
      <c r="O287" s="191"/>
      <c r="P287" s="191"/>
      <c r="Q287" s="191"/>
    </row>
    <row r="288" spans="1:34" ht="13.15" x14ac:dyDescent="0.4">
      <c r="A288" s="84" t="s">
        <v>628</v>
      </c>
      <c r="B288" s="84"/>
      <c r="E288" s="104"/>
      <c r="F288" s="75"/>
      <c r="G288" s="152"/>
      <c r="H288" s="105"/>
      <c r="I288" s="109"/>
      <c r="J288" s="107"/>
      <c r="K288" s="109"/>
      <c r="L288" s="109"/>
      <c r="M288" s="191"/>
      <c r="N288" s="191"/>
      <c r="O288" s="191"/>
      <c r="P288" s="191"/>
      <c r="Q288" s="191"/>
    </row>
    <row r="289" spans="1:17" x14ac:dyDescent="0.35">
      <c r="A289" s="81"/>
      <c r="B289" s="81">
        <v>2</v>
      </c>
      <c r="C289" s="83">
        <v>1</v>
      </c>
      <c r="D289" s="83" t="s">
        <v>46</v>
      </c>
      <c r="E289" s="99" t="s">
        <v>303</v>
      </c>
      <c r="F289" s="81" t="s">
        <v>312</v>
      </c>
      <c r="G289" s="180">
        <f>VLOOKUP(F289,Volumenes!$D$19:$G$346,4,FALSE)</f>
        <v>2</v>
      </c>
      <c r="H289" s="97"/>
      <c r="I289" s="98">
        <f>5/60</f>
        <v>8.3333333333333329E-2</v>
      </c>
      <c r="J289" s="110">
        <f>+I289*(1+Tiempos!$C$17)</f>
        <v>8.7708333333333333E-2</v>
      </c>
      <c r="K289" s="98">
        <f t="shared" ref="K289:K297" si="35">+J289*G289</f>
        <v>0.17541666666666667</v>
      </c>
      <c r="L289" s="98">
        <f>+K289/Tiempos!$B$11</f>
        <v>3.8134057971014494E-4</v>
      </c>
      <c r="M289" s="238"/>
      <c r="N289" s="238"/>
      <c r="O289" s="238"/>
      <c r="P289" s="238"/>
      <c r="Q289" s="238"/>
    </row>
    <row r="290" spans="1:17" x14ac:dyDescent="0.35">
      <c r="A290" s="92"/>
      <c r="B290" s="92">
        <v>2</v>
      </c>
      <c r="C290" s="100">
        <v>1</v>
      </c>
      <c r="D290" s="100" t="s">
        <v>46</v>
      </c>
      <c r="E290" s="101" t="s">
        <v>315</v>
      </c>
      <c r="F290" s="92" t="s">
        <v>319</v>
      </c>
      <c r="G290" s="102">
        <f>VLOOKUP(F290,Volumenes!$D$19:$G$346,4,FALSE)</f>
        <v>2</v>
      </c>
      <c r="H290" s="102">
        <v>30</v>
      </c>
      <c r="I290" s="103">
        <f>+(H290/Tiempos!B28)/60</f>
        <v>0.33967391304347827</v>
      </c>
      <c r="J290" s="111">
        <f>+I290*(1+Tiempos!$C$17)</f>
        <v>0.35750679347826086</v>
      </c>
      <c r="K290" s="103">
        <f t="shared" si="35"/>
        <v>0.71501358695652173</v>
      </c>
      <c r="L290" s="103">
        <f>+K290/Tiempos!$B$11</f>
        <v>1.5543773629489602E-3</v>
      </c>
      <c r="M290" s="243"/>
      <c r="N290" s="243"/>
      <c r="O290" s="243"/>
      <c r="P290" s="243"/>
      <c r="Q290" s="243"/>
    </row>
    <row r="291" spans="1:17" x14ac:dyDescent="0.35">
      <c r="A291" s="92"/>
      <c r="B291" s="92">
        <v>2</v>
      </c>
      <c r="C291" s="100">
        <v>1</v>
      </c>
      <c r="D291" s="100" t="s">
        <v>46</v>
      </c>
      <c r="E291" s="101" t="s">
        <v>305</v>
      </c>
      <c r="F291" s="92" t="s">
        <v>312</v>
      </c>
      <c r="G291" s="102">
        <f>VLOOKUP(F291,Volumenes!$D$19:$G$346,4,FALSE)</f>
        <v>2</v>
      </c>
      <c r="H291" s="102">
        <f>+Tiempos!E83</f>
        <v>250</v>
      </c>
      <c r="I291" s="103">
        <f>+Tiempos!F83</f>
        <v>2.1367521367521367</v>
      </c>
      <c r="J291" s="111">
        <f>+I291*(1+Tiempos!$C$17)</f>
        <v>2.2489316239316239</v>
      </c>
      <c r="K291" s="103">
        <f t="shared" si="35"/>
        <v>4.4978632478632479</v>
      </c>
      <c r="L291" s="103">
        <f>+K291/Tiempos!$B$11</f>
        <v>9.7779635823114081E-3</v>
      </c>
      <c r="M291" s="243"/>
      <c r="N291" s="243"/>
      <c r="O291" s="243"/>
      <c r="P291" s="243"/>
      <c r="Q291" s="243"/>
    </row>
    <row r="292" spans="1:17" x14ac:dyDescent="0.35">
      <c r="A292" s="81"/>
      <c r="B292" s="81">
        <v>2</v>
      </c>
      <c r="C292" s="83">
        <v>1</v>
      </c>
      <c r="D292" s="83" t="s">
        <v>46</v>
      </c>
      <c r="E292" s="99" t="s">
        <v>304</v>
      </c>
      <c r="F292" s="81" t="s">
        <v>314</v>
      </c>
      <c r="G292" s="143">
        <f>VLOOKUP(F292,Volumenes!$D$19:$G$346,4,FALSE)</f>
        <v>4.4192395585199682</v>
      </c>
      <c r="H292" s="97"/>
      <c r="I292" s="98">
        <f>10/60</f>
        <v>0.16666666666666666</v>
      </c>
      <c r="J292" s="110">
        <f>+I292*(1+Tiempos!$C$17)</f>
        <v>0.17541666666666667</v>
      </c>
      <c r="K292" s="98">
        <f t="shared" si="35"/>
        <v>0.77520827255704439</v>
      </c>
      <c r="L292" s="98">
        <f>+K292/Tiempos!$B$11</f>
        <v>1.6852353751240095E-3</v>
      </c>
      <c r="M292" s="238"/>
      <c r="N292" s="238"/>
      <c r="O292" s="238"/>
      <c r="P292" s="238"/>
      <c r="Q292" s="238"/>
    </row>
    <row r="293" spans="1:17" x14ac:dyDescent="0.35">
      <c r="A293" s="81"/>
      <c r="B293" s="81">
        <v>2</v>
      </c>
      <c r="C293" s="83">
        <v>1</v>
      </c>
      <c r="D293" s="83" t="s">
        <v>46</v>
      </c>
      <c r="E293" s="99" t="s">
        <v>306</v>
      </c>
      <c r="F293" s="81" t="s">
        <v>314</v>
      </c>
      <c r="G293" s="143">
        <f>VLOOKUP(F293,Volumenes!$D$19:$G$346,4,FALSE)</f>
        <v>4.4192395585199682</v>
      </c>
      <c r="H293" s="97"/>
      <c r="I293" s="98">
        <f>40/60</f>
        <v>0.66666666666666663</v>
      </c>
      <c r="J293" s="110">
        <f>+I293*(1+Tiempos!$C$17)</f>
        <v>0.70166666666666666</v>
      </c>
      <c r="K293" s="98">
        <f t="shared" si="35"/>
        <v>3.1008330902281775</v>
      </c>
      <c r="L293" s="98">
        <f>+K293/Tiempos!$B$11</f>
        <v>6.7409415004960381E-3</v>
      </c>
      <c r="M293" s="238"/>
      <c r="N293" s="238"/>
      <c r="O293" s="238"/>
      <c r="P293" s="238"/>
      <c r="Q293" s="238"/>
    </row>
    <row r="294" spans="1:17" x14ac:dyDescent="0.35">
      <c r="A294" s="92"/>
      <c r="B294" s="92">
        <v>2</v>
      </c>
      <c r="C294" s="100">
        <v>1</v>
      </c>
      <c r="D294" s="100" t="s">
        <v>46</v>
      </c>
      <c r="E294" s="101" t="s">
        <v>307</v>
      </c>
      <c r="F294" s="92" t="s">
        <v>312</v>
      </c>
      <c r="G294" s="102">
        <f>VLOOKUP(F294,Volumenes!$D$19:$G$346,4,FALSE)</f>
        <v>2</v>
      </c>
      <c r="H294" s="102">
        <f>+Tiempos!E83</f>
        <v>250</v>
      </c>
      <c r="I294" s="103">
        <f>+Tiempos!F83</f>
        <v>2.1367521367521367</v>
      </c>
      <c r="J294" s="111">
        <f>+I294*(1+Tiempos!$C$17)</f>
        <v>2.2489316239316239</v>
      </c>
      <c r="K294" s="103">
        <f t="shared" si="35"/>
        <v>4.4978632478632479</v>
      </c>
      <c r="L294" s="103">
        <f>+K294/Tiempos!$B$11</f>
        <v>9.7779635823114081E-3</v>
      </c>
      <c r="M294" s="243"/>
      <c r="N294" s="243"/>
      <c r="O294" s="243"/>
      <c r="P294" s="243"/>
      <c r="Q294" s="243"/>
    </row>
    <row r="295" spans="1:17" x14ac:dyDescent="0.35">
      <c r="A295" s="81"/>
      <c r="B295" s="81">
        <v>2</v>
      </c>
      <c r="C295" s="83">
        <v>1</v>
      </c>
      <c r="D295" s="83" t="s">
        <v>46</v>
      </c>
      <c r="E295" s="99" t="s">
        <v>308</v>
      </c>
      <c r="F295" s="81" t="str">
        <f t="shared" ref="F295:F297" si="36">+F292</f>
        <v>CAJ_WURTH35.1</v>
      </c>
      <c r="G295" s="143">
        <f>VLOOKUP(F295,Volumenes!$D$19:$G$346,4,FALSE)</f>
        <v>4.4192395585199682</v>
      </c>
      <c r="H295" s="97"/>
      <c r="I295" s="98">
        <f>25/60</f>
        <v>0.41666666666666669</v>
      </c>
      <c r="J295" s="110">
        <f>+I295*(1+Tiempos!$C$17)</f>
        <v>0.43854166666666666</v>
      </c>
      <c r="K295" s="98">
        <f t="shared" si="35"/>
        <v>1.9380206813926111</v>
      </c>
      <c r="L295" s="98">
        <f>+K295/Tiempos!$B$11</f>
        <v>4.2130884378100237E-3</v>
      </c>
      <c r="M295" s="246"/>
      <c r="N295" s="246"/>
      <c r="O295" s="246"/>
      <c r="P295" s="246"/>
      <c r="Q295" s="246"/>
    </row>
    <row r="296" spans="1:17" x14ac:dyDescent="0.35">
      <c r="A296" s="81"/>
      <c r="B296" s="81">
        <v>2</v>
      </c>
      <c r="C296" s="83">
        <v>1</v>
      </c>
      <c r="D296" s="83" t="s">
        <v>46</v>
      </c>
      <c r="E296" s="99" t="s">
        <v>309</v>
      </c>
      <c r="F296" s="81" t="str">
        <f t="shared" si="36"/>
        <v>CAJ_WURTH35.1</v>
      </c>
      <c r="G296" s="143">
        <f>VLOOKUP(F296,Volumenes!$D$19:$G$346,4,FALSE)</f>
        <v>4.4192395585199682</v>
      </c>
      <c r="H296" s="97"/>
      <c r="I296" s="98">
        <f>15/60</f>
        <v>0.25</v>
      </c>
      <c r="J296" s="110">
        <f>+I296*(1+Tiempos!$C$17)</f>
        <v>0.263125</v>
      </c>
      <c r="K296" s="98">
        <f t="shared" si="35"/>
        <v>1.1628124088355667</v>
      </c>
      <c r="L296" s="98">
        <f>+K296/Tiempos!$B$11</f>
        <v>2.5278530626860144E-3</v>
      </c>
      <c r="M296" s="246"/>
      <c r="N296" s="246"/>
      <c r="O296" s="246"/>
      <c r="P296" s="246"/>
      <c r="Q296" s="246"/>
    </row>
    <row r="297" spans="1:17" x14ac:dyDescent="0.35">
      <c r="A297" s="81"/>
      <c r="B297" s="81">
        <v>2</v>
      </c>
      <c r="C297" s="83">
        <v>1</v>
      </c>
      <c r="D297" s="83" t="s">
        <v>46</v>
      </c>
      <c r="E297" s="99" t="s">
        <v>310</v>
      </c>
      <c r="F297" s="81" t="str">
        <f t="shared" si="36"/>
        <v>MOV_WURTH35.1</v>
      </c>
      <c r="G297" s="180">
        <f>VLOOKUP(F297,Volumenes!$D$19:$G$346,4,FALSE)</f>
        <v>2</v>
      </c>
      <c r="H297" s="97"/>
      <c r="I297" s="98">
        <f>10/60</f>
        <v>0.16666666666666666</v>
      </c>
      <c r="J297" s="110">
        <f>+I297*(1+Tiempos!$C$17)</f>
        <v>0.17541666666666667</v>
      </c>
      <c r="K297" s="98">
        <f t="shared" si="35"/>
        <v>0.35083333333333333</v>
      </c>
      <c r="L297" s="98">
        <f>+K297/Tiempos!$B$11</f>
        <v>7.6268115942028987E-4</v>
      </c>
      <c r="M297" s="246"/>
      <c r="N297" s="246"/>
      <c r="O297" s="246"/>
      <c r="P297" s="246"/>
      <c r="Q297" s="246"/>
    </row>
    <row r="298" spans="1:17" x14ac:dyDescent="0.35">
      <c r="A298" s="75"/>
      <c r="B298" s="75"/>
      <c r="E298" s="104"/>
      <c r="F298" s="75"/>
      <c r="G298" s="152"/>
      <c r="H298" s="105"/>
      <c r="I298" s="109"/>
      <c r="J298" s="107"/>
      <c r="K298" s="109"/>
      <c r="L298" s="98">
        <f>SUM(L289:L297)</f>
        <v>3.7421444642818297E-2</v>
      </c>
      <c r="M298" s="98">
        <f t="shared" ref="M298:Q298" si="37">SUM(M289:M297)</f>
        <v>0</v>
      </c>
      <c r="N298" s="98">
        <f t="shared" si="37"/>
        <v>0</v>
      </c>
      <c r="O298" s="98"/>
      <c r="P298" s="98">
        <f t="shared" si="37"/>
        <v>0</v>
      </c>
      <c r="Q298" s="98">
        <f t="shared" si="37"/>
        <v>0</v>
      </c>
    </row>
    <row r="299" spans="1:17" x14ac:dyDescent="0.35">
      <c r="A299" s="75"/>
      <c r="B299" s="75"/>
      <c r="E299" s="104"/>
      <c r="F299" s="75"/>
      <c r="G299" s="105"/>
      <c r="H299" s="105"/>
      <c r="I299" s="109"/>
      <c r="J299" s="107"/>
      <c r="K299" s="109"/>
      <c r="L299" s="249"/>
    </row>
    <row r="300" spans="1:17" ht="13.15" x14ac:dyDescent="0.4">
      <c r="A300" s="84" t="s">
        <v>1072</v>
      </c>
      <c r="B300" s="84"/>
      <c r="C300" s="70"/>
      <c r="D300" s="70"/>
      <c r="E300" s="94"/>
      <c r="F300" s="80"/>
      <c r="G300" s="80"/>
      <c r="H300" s="80"/>
      <c r="I300" s="80"/>
      <c r="J300" s="80"/>
      <c r="K300" s="80"/>
      <c r="L300" s="80"/>
    </row>
    <row r="301" spans="1:17" x14ac:dyDescent="0.35">
      <c r="A301" s="81"/>
      <c r="B301" s="81">
        <v>2</v>
      </c>
      <c r="C301" s="83">
        <v>1</v>
      </c>
      <c r="D301" s="83" t="s">
        <v>333</v>
      </c>
      <c r="E301" s="99" t="s">
        <v>109</v>
      </c>
      <c r="F301" s="81" t="str">
        <f>+Volumenes!D161</f>
        <v>CAR_SUM_L1</v>
      </c>
      <c r="G301" s="180">
        <f>VLOOKUP(F301,Volumenes!$D$19:$G$346,4,FALSE)</f>
        <v>300</v>
      </c>
      <c r="H301" s="97"/>
      <c r="I301" s="98">
        <f>15/60</f>
        <v>0.25</v>
      </c>
      <c r="J301" s="110">
        <f>+I301*(1+Tiempos!$C$17)</f>
        <v>0.263125</v>
      </c>
      <c r="K301" s="123">
        <f>+J301*G301</f>
        <v>78.9375</v>
      </c>
      <c r="L301" s="98">
        <f>+K301/Tiempos!$B$11</f>
        <v>0.17160326086956521</v>
      </c>
      <c r="M301" s="238"/>
      <c r="N301" s="238"/>
      <c r="O301" s="238"/>
      <c r="P301" s="261">
        <f>+K301/Tiempos!$B$12</f>
        <v>8.5801630434782603E-2</v>
      </c>
      <c r="Q301" s="238"/>
    </row>
    <row r="302" spans="1:17" x14ac:dyDescent="0.35">
      <c r="A302" s="92"/>
      <c r="B302" s="92">
        <v>2</v>
      </c>
      <c r="C302" s="100">
        <v>1</v>
      </c>
      <c r="D302" s="100" t="s">
        <v>333</v>
      </c>
      <c r="E302" s="101" t="s">
        <v>668</v>
      </c>
      <c r="F302" s="92" t="str">
        <f>+F301</f>
        <v>CAR_SUM_L1</v>
      </c>
      <c r="G302" s="155">
        <f>VLOOKUP(F302,Volumenes!$D$19:$G$346,4,FALSE)</f>
        <v>300</v>
      </c>
      <c r="H302" s="102">
        <v>8</v>
      </c>
      <c r="I302" s="103">
        <f>+(H302/Tiempos!$B$29)/60</f>
        <v>6.8376068376068383E-2</v>
      </c>
      <c r="J302" s="111">
        <f>+I302*(1+Tiempos!$C$17)</f>
        <v>7.1965811965811977E-2</v>
      </c>
      <c r="K302" s="146">
        <f t="shared" ref="K302" si="38">+J302*G302</f>
        <v>21.589743589743591</v>
      </c>
      <c r="L302" s="103">
        <f>+K302/Tiempos!$B$11</f>
        <v>4.6934225195094763E-2</v>
      </c>
      <c r="M302" s="243"/>
      <c r="N302" s="243"/>
      <c r="O302" s="243"/>
      <c r="P302" s="262">
        <f>+K302/Tiempos!$B$12</f>
        <v>2.3467112597547381E-2</v>
      </c>
      <c r="Q302" s="243"/>
    </row>
    <row r="303" spans="1:17" x14ac:dyDescent="0.35">
      <c r="A303" s="81"/>
      <c r="B303" s="81">
        <v>2</v>
      </c>
      <c r="C303" s="83">
        <v>1</v>
      </c>
      <c r="D303" s="83" t="s">
        <v>333</v>
      </c>
      <c r="E303" s="99" t="s">
        <v>669</v>
      </c>
      <c r="F303" s="81" t="str">
        <f>+F302</f>
        <v>CAR_SUM_L1</v>
      </c>
      <c r="G303" s="180">
        <f>VLOOKUP(F303,Volumenes!$D$19:$G$346,4,FALSE)</f>
        <v>300</v>
      </c>
      <c r="H303" s="97"/>
      <c r="I303" s="98">
        <f>20/60</f>
        <v>0.33333333333333331</v>
      </c>
      <c r="J303" s="110">
        <f>+I303*(1+Tiempos!$C$17)</f>
        <v>0.35083333333333333</v>
      </c>
      <c r="K303" s="123">
        <f>+J303*G303</f>
        <v>105.25</v>
      </c>
      <c r="L303" s="98">
        <f>+K303/Tiempos!$B$11</f>
        <v>0.22880434782608697</v>
      </c>
      <c r="M303" s="238"/>
      <c r="N303" s="238"/>
      <c r="O303" s="238"/>
      <c r="P303" s="261">
        <f>+K303/Tiempos!$B$12</f>
        <v>0.11440217391304348</v>
      </c>
      <c r="Q303" s="238"/>
    </row>
    <row r="304" spans="1:17" x14ac:dyDescent="0.35">
      <c r="A304" s="81"/>
      <c r="B304" s="81">
        <v>2</v>
      </c>
      <c r="C304" s="83">
        <v>1</v>
      </c>
      <c r="D304" s="83" t="s">
        <v>333</v>
      </c>
      <c r="E304" s="99" t="s">
        <v>670</v>
      </c>
      <c r="F304" s="81" t="str">
        <f>+Volumenes!D163</f>
        <v>SUM_CARRO_L1</v>
      </c>
      <c r="G304" s="180">
        <f>VLOOKUP(F304,Volumenes!$D$19:$G$346,4,FALSE)</f>
        <v>150</v>
      </c>
      <c r="H304" s="97"/>
      <c r="I304" s="98">
        <f>3/60</f>
        <v>0.05</v>
      </c>
      <c r="J304" s="110">
        <f>+I304*(1+Tiempos!$C$17)</f>
        <v>5.2625000000000005E-2</v>
      </c>
      <c r="K304" s="123">
        <f>+J304*G304</f>
        <v>7.8937500000000007</v>
      </c>
      <c r="L304" s="98">
        <f>+K304/Tiempos!$B$11</f>
        <v>1.7160326086956522E-2</v>
      </c>
      <c r="M304" s="238"/>
      <c r="N304" s="238"/>
      <c r="O304" s="238"/>
      <c r="P304" s="261">
        <f>+K304/Tiempos!$B$12</f>
        <v>8.5801630434782609E-3</v>
      </c>
      <c r="Q304" s="238"/>
    </row>
    <row r="305" spans="1:17" x14ac:dyDescent="0.35">
      <c r="A305" s="92"/>
      <c r="B305" s="92">
        <v>2</v>
      </c>
      <c r="C305" s="100">
        <v>1</v>
      </c>
      <c r="D305" s="100" t="s">
        <v>333</v>
      </c>
      <c r="E305" s="101" t="s">
        <v>1074</v>
      </c>
      <c r="F305" s="92" t="str">
        <f>+F304</f>
        <v>SUM_CARRO_L1</v>
      </c>
      <c r="G305" s="155">
        <f>VLOOKUP(F305,Volumenes!$D$19:$G$346,4,FALSE)</f>
        <v>150</v>
      </c>
      <c r="H305" s="102">
        <v>75</v>
      </c>
      <c r="I305" s="103">
        <f>+(H305/Tiempos!$B$29)/60</f>
        <v>0.64102564102564097</v>
      </c>
      <c r="J305" s="111">
        <f>+I305*(1+Tiempos!$C$17)</f>
        <v>0.67467948717948711</v>
      </c>
      <c r="K305" s="146">
        <f>+J305*G305</f>
        <v>101.20192307692307</v>
      </c>
      <c r="L305" s="103">
        <f>+K305/Tiempos!$B$11</f>
        <v>0.22000418060200666</v>
      </c>
      <c r="M305" s="243"/>
      <c r="N305" s="243"/>
      <c r="O305" s="243"/>
      <c r="P305" s="262">
        <f>+K305/Tiempos!$B$12</f>
        <v>0.11000209030100333</v>
      </c>
      <c r="Q305" s="243"/>
    </row>
    <row r="306" spans="1:17" x14ac:dyDescent="0.35">
      <c r="A306" s="81"/>
      <c r="B306" s="81">
        <v>2</v>
      </c>
      <c r="C306" s="83">
        <v>1</v>
      </c>
      <c r="D306" s="83" t="s">
        <v>333</v>
      </c>
      <c r="E306" s="99" t="s">
        <v>671</v>
      </c>
      <c r="F306" s="81" t="str">
        <f>+F305</f>
        <v>SUM_CARRO_L1</v>
      </c>
      <c r="G306" s="180">
        <f>VLOOKUP(F306,Volumenes!$D$19:$G$346,4,FALSE)</f>
        <v>150</v>
      </c>
      <c r="H306" s="97"/>
      <c r="I306" s="98">
        <f>3/60</f>
        <v>0.05</v>
      </c>
      <c r="J306" s="110">
        <f>+I306*(1+Tiempos!$C$17)</f>
        <v>5.2625000000000005E-2</v>
      </c>
      <c r="K306" s="123">
        <f t="shared" ref="K306:K307" si="39">+J306*G306</f>
        <v>7.8937500000000007</v>
      </c>
      <c r="L306" s="98">
        <f>+K306/Tiempos!$B$11</f>
        <v>1.7160326086956522E-2</v>
      </c>
      <c r="M306" s="238"/>
      <c r="N306" s="238"/>
      <c r="O306" s="238"/>
      <c r="P306" s="261">
        <f>+K306/Tiempos!$B$12</f>
        <v>8.5801630434782609E-3</v>
      </c>
      <c r="Q306" s="238"/>
    </row>
    <row r="307" spans="1:17" x14ac:dyDescent="0.35">
      <c r="A307" s="81"/>
      <c r="B307" s="81">
        <v>2</v>
      </c>
      <c r="C307" s="83">
        <v>1</v>
      </c>
      <c r="D307" s="83" t="s">
        <v>333</v>
      </c>
      <c r="E307" s="99" t="s">
        <v>672</v>
      </c>
      <c r="F307" s="81" t="str">
        <f>+F301</f>
        <v>CAR_SUM_L1</v>
      </c>
      <c r="G307" s="180">
        <f>VLOOKUP(F307,Volumenes!$D$19:$G$346,4,FALSE)</f>
        <v>300</v>
      </c>
      <c r="H307" s="97"/>
      <c r="I307" s="98">
        <f>40/60</f>
        <v>0.66666666666666663</v>
      </c>
      <c r="J307" s="110">
        <f>+I307*(1+Tiempos!$C$17)</f>
        <v>0.70166666666666666</v>
      </c>
      <c r="K307" s="123">
        <f t="shared" si="39"/>
        <v>210.5</v>
      </c>
      <c r="L307" s="98">
        <f>+K307/Tiempos!$B$11</f>
        <v>0.45760869565217394</v>
      </c>
      <c r="M307" s="238"/>
      <c r="N307" s="238"/>
      <c r="O307" s="238"/>
      <c r="P307" s="261">
        <f>+K307/Tiempos!$B$12</f>
        <v>0.22880434782608697</v>
      </c>
      <c r="Q307" s="238"/>
    </row>
    <row r="308" spans="1:17" x14ac:dyDescent="0.35">
      <c r="A308" s="92"/>
      <c r="B308" s="92">
        <v>2</v>
      </c>
      <c r="C308" s="100">
        <v>1</v>
      </c>
      <c r="D308" s="100" t="s">
        <v>333</v>
      </c>
      <c r="E308" s="101" t="s">
        <v>673</v>
      </c>
      <c r="F308" s="92" t="str">
        <f>+F304</f>
        <v>SUM_CARRO_L1</v>
      </c>
      <c r="G308" s="155">
        <f>VLOOKUP(F308,Volumenes!$D$19:$G$346,4,FALSE)</f>
        <v>150</v>
      </c>
      <c r="H308" s="102">
        <v>25</v>
      </c>
      <c r="I308" s="103">
        <f>+(H308/Tiempos!$B$29)/60</f>
        <v>0.21367521367521369</v>
      </c>
      <c r="J308" s="111">
        <f>+I308*(1+Tiempos!$C$17)</f>
        <v>0.2248931623931624</v>
      </c>
      <c r="K308" s="146">
        <f>+J308*G308</f>
        <v>33.733974358974358</v>
      </c>
      <c r="L308" s="103">
        <f>+K308/Tiempos!$B$11</f>
        <v>7.3334726867335553E-2</v>
      </c>
      <c r="M308" s="243"/>
      <c r="N308" s="243"/>
      <c r="O308" s="243"/>
      <c r="P308" s="262">
        <f>+K308/Tiempos!$B$12</f>
        <v>3.6667363433667777E-2</v>
      </c>
      <c r="Q308" s="243"/>
    </row>
    <row r="309" spans="1:17" x14ac:dyDescent="0.35">
      <c r="A309" s="81"/>
      <c r="B309" s="81">
        <v>2</v>
      </c>
      <c r="C309" s="83">
        <v>1</v>
      </c>
      <c r="D309" s="83" t="s">
        <v>333</v>
      </c>
      <c r="E309" s="99" t="s">
        <v>674</v>
      </c>
      <c r="F309" s="81" t="str">
        <f>+F307</f>
        <v>CAR_SUM_L1</v>
      </c>
      <c r="G309" s="180">
        <f>VLOOKUP(F309,Volumenes!$D$19:$G$346,4,FALSE)</f>
        <v>300</v>
      </c>
      <c r="H309" s="97"/>
      <c r="I309" s="98">
        <f>50/60</f>
        <v>0.83333333333333337</v>
      </c>
      <c r="J309" s="110">
        <f>+I309*(1+Tiempos!$C$17)</f>
        <v>0.87708333333333333</v>
      </c>
      <c r="K309" s="123">
        <f t="shared" ref="K309" si="40">+J309*G309</f>
        <v>263.125</v>
      </c>
      <c r="L309" s="98">
        <f>+K309/Tiempos!$B$11</f>
        <v>0.57201086956521741</v>
      </c>
      <c r="M309" s="238"/>
      <c r="N309" s="238"/>
      <c r="O309" s="238"/>
      <c r="P309" s="261">
        <f>+K309/Tiempos!$B$12</f>
        <v>0.2860054347826087</v>
      </c>
      <c r="Q309" s="238"/>
    </row>
    <row r="310" spans="1:17" x14ac:dyDescent="0.35">
      <c r="A310" s="92"/>
      <c r="B310" s="92">
        <v>2</v>
      </c>
      <c r="C310" s="100">
        <v>1</v>
      </c>
      <c r="D310" s="100" t="s">
        <v>333</v>
      </c>
      <c r="E310" s="101" t="s">
        <v>1075</v>
      </c>
      <c r="F310" s="92" t="str">
        <f>+F308</f>
        <v>SUM_CARRO_L1</v>
      </c>
      <c r="G310" s="155">
        <f>VLOOKUP(F310,Volumenes!$D$19:$G$346,4,FALSE)</f>
        <v>150</v>
      </c>
      <c r="H310" s="102">
        <v>50</v>
      </c>
      <c r="I310" s="103">
        <f>+(H310/Tiempos!$B$29)/60</f>
        <v>0.42735042735042739</v>
      </c>
      <c r="J310" s="111">
        <f>+I310*(1+Tiempos!$C$17)</f>
        <v>0.4497863247863248</v>
      </c>
      <c r="K310" s="146">
        <f>+J310*G310</f>
        <v>67.467948717948715</v>
      </c>
      <c r="L310" s="103">
        <f>+K310/Tiempos!$B$11</f>
        <v>0.14666945373467111</v>
      </c>
      <c r="M310" s="243"/>
      <c r="N310" s="243"/>
      <c r="O310" s="243"/>
      <c r="P310" s="262">
        <f>+K310/Tiempos!$B$12</f>
        <v>7.3334726867335553E-2</v>
      </c>
      <c r="Q310" s="243"/>
    </row>
    <row r="311" spans="1:17" x14ac:dyDescent="0.35">
      <c r="A311" s="92"/>
      <c r="B311" s="92">
        <v>2</v>
      </c>
      <c r="C311" s="100">
        <v>1</v>
      </c>
      <c r="D311" s="100" t="s">
        <v>46</v>
      </c>
      <c r="E311" s="101" t="s">
        <v>677</v>
      </c>
      <c r="F311" s="92" t="str">
        <f>+Volumenes!D159</f>
        <v>CONJ_TOT_L1</v>
      </c>
      <c r="G311" s="155">
        <f>VLOOKUP(F311,Volumenes!$D$19:$G$346,4,FALSE)</f>
        <v>840</v>
      </c>
      <c r="H311" s="102">
        <v>25</v>
      </c>
      <c r="I311" s="103">
        <f>+(H311/Tiempos!$B$28)/60</f>
        <v>0.28306159420289856</v>
      </c>
      <c r="J311" s="111">
        <f>+I311*(1+Tiempos!$C$17)</f>
        <v>0.29792232789855072</v>
      </c>
      <c r="K311" s="146">
        <f>+J311*G311</f>
        <v>250.2547554347826</v>
      </c>
      <c r="L311" s="103">
        <f>+K311/Tiempos!$B$11</f>
        <v>0.54403207703213607</v>
      </c>
      <c r="M311" s="243"/>
      <c r="N311" s="243"/>
      <c r="O311" s="243"/>
      <c r="P311" s="262">
        <f>+K311/Tiempos!$B$12</f>
        <v>0.27201603851606804</v>
      </c>
      <c r="Q311" s="243"/>
    </row>
    <row r="312" spans="1:17" x14ac:dyDescent="0.35">
      <c r="A312" s="81"/>
      <c r="B312" s="81">
        <v>2</v>
      </c>
      <c r="C312" s="83">
        <v>1</v>
      </c>
      <c r="D312" s="83" t="s">
        <v>333</v>
      </c>
      <c r="E312" s="99" t="s">
        <v>678</v>
      </c>
      <c r="F312" s="81" t="str">
        <f>+F311</f>
        <v>CONJ_TOT_L1</v>
      </c>
      <c r="G312" s="180">
        <f>VLOOKUP(F312,Volumenes!$D$19:$G$346,4,FALSE)</f>
        <v>840</v>
      </c>
      <c r="H312" s="97"/>
      <c r="I312" s="98">
        <f>25/60</f>
        <v>0.41666666666666669</v>
      </c>
      <c r="J312" s="110">
        <f>+I312*(1+Tiempos!$C$17)</f>
        <v>0.43854166666666666</v>
      </c>
      <c r="K312" s="123">
        <f t="shared" ref="K312:K313" si="41">+J312*G312</f>
        <v>368.375</v>
      </c>
      <c r="L312" s="98">
        <f>+K312/Tiempos!$B$11</f>
        <v>0.80081521739130435</v>
      </c>
      <c r="M312" s="238"/>
      <c r="N312" s="238"/>
      <c r="O312" s="238"/>
      <c r="P312" s="261">
        <f>+K312/Tiempos!$B$12</f>
        <v>0.40040760869565217</v>
      </c>
      <c r="Q312" s="238"/>
    </row>
    <row r="313" spans="1:17" x14ac:dyDescent="0.35">
      <c r="A313" s="81"/>
      <c r="B313" s="81">
        <v>2</v>
      </c>
      <c r="C313" s="83">
        <v>1</v>
      </c>
      <c r="D313" s="83" t="s">
        <v>333</v>
      </c>
      <c r="E313" s="99" t="s">
        <v>671</v>
      </c>
      <c r="F313" s="81" t="str">
        <f>+F310</f>
        <v>SUM_CARRO_L1</v>
      </c>
      <c r="G313" s="180">
        <f>VLOOKUP(F313,Volumenes!$D$19:$G$346,4,FALSE)</f>
        <v>150</v>
      </c>
      <c r="H313" s="97"/>
      <c r="I313" s="98">
        <f>3/60</f>
        <v>0.05</v>
      </c>
      <c r="J313" s="110">
        <f>+I313*(1+Tiempos!$C$17)</f>
        <v>5.2625000000000005E-2</v>
      </c>
      <c r="K313" s="123">
        <f t="shared" si="41"/>
        <v>7.8937500000000007</v>
      </c>
      <c r="L313" s="98">
        <f>+K313/Tiempos!$B$11</f>
        <v>1.7160326086956522E-2</v>
      </c>
      <c r="M313" s="238"/>
      <c r="N313" s="238"/>
      <c r="O313" s="238"/>
      <c r="P313" s="261">
        <f>+K313/Tiempos!$B$12</f>
        <v>8.5801630434782609E-3</v>
      </c>
      <c r="Q313" s="238"/>
    </row>
    <row r="314" spans="1:17" x14ac:dyDescent="0.35">
      <c r="A314" s="81"/>
      <c r="B314" s="81">
        <v>2</v>
      </c>
      <c r="C314" s="83">
        <v>1</v>
      </c>
      <c r="D314" s="83" t="s">
        <v>333</v>
      </c>
      <c r="E314" s="99" t="s">
        <v>675</v>
      </c>
      <c r="F314" s="81" t="str">
        <f>+F309</f>
        <v>CAR_SUM_L1</v>
      </c>
      <c r="G314" s="180">
        <f>VLOOKUP(F314,Volumenes!$D$19:$G$346,4,FALSE)</f>
        <v>300</v>
      </c>
      <c r="H314" s="97"/>
      <c r="I314" s="98">
        <f>50/60</f>
        <v>0.83333333333333337</v>
      </c>
      <c r="J314" s="110">
        <f>+I314*(1+Tiempos!$C$17)</f>
        <v>0.87708333333333333</v>
      </c>
      <c r="K314" s="123">
        <f>+J314*G314</f>
        <v>263.125</v>
      </c>
      <c r="L314" s="98">
        <f>+K314/Tiempos!$B$11</f>
        <v>0.57201086956521741</v>
      </c>
      <c r="M314" s="238"/>
      <c r="N314" s="238"/>
      <c r="O314" s="238"/>
      <c r="P314" s="261">
        <f>+K314/Tiempos!$B$12</f>
        <v>0.2860054347826087</v>
      </c>
      <c r="Q314" s="238"/>
    </row>
    <row r="315" spans="1:17" x14ac:dyDescent="0.35">
      <c r="A315" s="92"/>
      <c r="B315" s="92">
        <v>2</v>
      </c>
      <c r="C315" s="100">
        <v>1</v>
      </c>
      <c r="D315" s="100" t="s">
        <v>333</v>
      </c>
      <c r="E315" s="101" t="s">
        <v>676</v>
      </c>
      <c r="F315" s="92" t="str">
        <f>+F313</f>
        <v>SUM_CARRO_L1</v>
      </c>
      <c r="G315" s="155">
        <f>VLOOKUP(F315,Volumenes!$D$19:$G$346,4,FALSE)</f>
        <v>150</v>
      </c>
      <c r="H315" s="102">
        <v>6</v>
      </c>
      <c r="I315" s="103">
        <f>+(H315/Tiempos!$B$29)/60</f>
        <v>5.1282051282051287E-2</v>
      </c>
      <c r="J315" s="111">
        <f>+I315*(1+Tiempos!$C$17)</f>
        <v>5.3974358974358982E-2</v>
      </c>
      <c r="K315" s="146">
        <f t="shared" ref="K315" si="42">+J315*G315</f>
        <v>8.0961538461538467</v>
      </c>
      <c r="L315" s="103">
        <f>+K315/Tiempos!$B$11</f>
        <v>1.7600334448160535E-2</v>
      </c>
      <c r="M315" s="243"/>
      <c r="N315" s="243"/>
      <c r="O315" s="243"/>
      <c r="P315" s="262">
        <f>+K315/Tiempos!$B$12</f>
        <v>8.8001672240802676E-3</v>
      </c>
      <c r="Q315" s="243"/>
    </row>
    <row r="316" spans="1:17" x14ac:dyDescent="0.35">
      <c r="A316" s="75"/>
      <c r="B316" s="75"/>
      <c r="E316" s="104"/>
      <c r="F316" s="75"/>
      <c r="G316" s="105"/>
      <c r="H316" s="105"/>
      <c r="I316" s="106"/>
      <c r="J316" s="107"/>
      <c r="K316" s="109"/>
      <c r="L316" s="141">
        <f>SUM(L301:L315)</f>
        <v>3.9029092370098395</v>
      </c>
      <c r="M316" s="141">
        <f>SUM(M301:M315)</f>
        <v>0</v>
      </c>
      <c r="N316" s="141">
        <f>SUM(N301:N315)</f>
        <v>0</v>
      </c>
      <c r="O316" s="141"/>
      <c r="P316" s="141">
        <f>SUM(P301:P315)</f>
        <v>1.9514546185049197</v>
      </c>
      <c r="Q316" s="141">
        <f>SUM(Q301:Q315)</f>
        <v>0</v>
      </c>
    </row>
    <row r="317" spans="1:17" x14ac:dyDescent="0.35">
      <c r="A317" s="75"/>
      <c r="B317" s="75"/>
      <c r="E317" s="104"/>
      <c r="F317" s="75"/>
      <c r="G317" s="105"/>
      <c r="H317" s="105"/>
      <c r="I317" s="106"/>
      <c r="J317" s="107"/>
      <c r="K317" s="109"/>
      <c r="L317" s="249"/>
    </row>
    <row r="318" spans="1:17" ht="13.15" x14ac:dyDescent="0.4">
      <c r="A318" s="84" t="s">
        <v>1073</v>
      </c>
      <c r="B318" s="84"/>
      <c r="C318" s="70"/>
      <c r="D318" s="70"/>
      <c r="E318" s="94"/>
      <c r="F318" s="80"/>
      <c r="G318" s="80"/>
      <c r="H318" s="80"/>
      <c r="I318" s="80"/>
      <c r="J318" s="80"/>
      <c r="K318" s="80"/>
      <c r="L318" s="80"/>
    </row>
    <row r="319" spans="1:17" x14ac:dyDescent="0.35">
      <c r="A319" s="81"/>
      <c r="B319" s="81">
        <v>2</v>
      </c>
      <c r="C319" s="83">
        <v>1</v>
      </c>
      <c r="D319" s="83" t="s">
        <v>333</v>
      </c>
      <c r="E319" s="99" t="s">
        <v>109</v>
      </c>
      <c r="F319" s="81" t="str">
        <f>+Volumenes!D162</f>
        <v>CAR_SUM_L2</v>
      </c>
      <c r="G319" s="180">
        <f>VLOOKUP(F319,Volumenes!$D$19:$G$346,4,FALSE)</f>
        <v>80</v>
      </c>
      <c r="H319" s="97"/>
      <c r="I319" s="98">
        <f>15/60</f>
        <v>0.25</v>
      </c>
      <c r="J319" s="110">
        <f>+I319*(1+Tiempos!$C$17)</f>
        <v>0.263125</v>
      </c>
      <c r="K319" s="123">
        <f>+J319*G319</f>
        <v>21.05</v>
      </c>
      <c r="L319" s="98">
        <f>+K319/Tiempos!$B$11</f>
        <v>4.5760869565217389E-2</v>
      </c>
      <c r="M319" s="238"/>
      <c r="N319" s="238"/>
      <c r="O319" s="238"/>
      <c r="P319" s="261">
        <f>+K319/Tiempos!$B$12</f>
        <v>2.2880434782608695E-2</v>
      </c>
      <c r="Q319" s="238"/>
    </row>
    <row r="320" spans="1:17" x14ac:dyDescent="0.35">
      <c r="A320" s="92"/>
      <c r="B320" s="92">
        <v>2</v>
      </c>
      <c r="C320" s="100">
        <v>1</v>
      </c>
      <c r="D320" s="100" t="s">
        <v>333</v>
      </c>
      <c r="E320" s="101" t="s">
        <v>668</v>
      </c>
      <c r="F320" s="92" t="str">
        <f>+F319</f>
        <v>CAR_SUM_L2</v>
      </c>
      <c r="G320" s="155">
        <f>VLOOKUP(F320,Volumenes!$D$19:$G$346,4,FALSE)</f>
        <v>80</v>
      </c>
      <c r="H320" s="102">
        <v>8</v>
      </c>
      <c r="I320" s="103">
        <f>+(H320/Tiempos!$B$29)/60</f>
        <v>6.8376068376068383E-2</v>
      </c>
      <c r="J320" s="111">
        <f>+I320*(1+Tiempos!$C$17)</f>
        <v>7.1965811965811977E-2</v>
      </c>
      <c r="K320" s="146">
        <f t="shared" ref="K320" si="43">+J320*G320</f>
        <v>5.7572649572649581</v>
      </c>
      <c r="L320" s="103">
        <f>+K320/Tiempos!$B$11</f>
        <v>1.2515793385358605E-2</v>
      </c>
      <c r="M320" s="243"/>
      <c r="N320" s="243"/>
      <c r="O320" s="243"/>
      <c r="P320" s="262">
        <f>+K320/Tiempos!$B$12</f>
        <v>6.2578966926793026E-3</v>
      </c>
      <c r="Q320" s="243"/>
    </row>
    <row r="321" spans="1:17" x14ac:dyDescent="0.35">
      <c r="A321" s="81"/>
      <c r="B321" s="81">
        <v>2</v>
      </c>
      <c r="C321" s="83">
        <v>1</v>
      </c>
      <c r="D321" s="83" t="s">
        <v>333</v>
      </c>
      <c r="E321" s="99" t="s">
        <v>669</v>
      </c>
      <c r="F321" s="81" t="str">
        <f>+F320</f>
        <v>CAR_SUM_L2</v>
      </c>
      <c r="G321" s="180">
        <f>VLOOKUP(F321,Volumenes!$D$19:$G$346,4,FALSE)</f>
        <v>80</v>
      </c>
      <c r="H321" s="97"/>
      <c r="I321" s="98">
        <f>20/60</f>
        <v>0.33333333333333331</v>
      </c>
      <c r="J321" s="110">
        <f>+I321*(1+Tiempos!$C$17)</f>
        <v>0.35083333333333333</v>
      </c>
      <c r="K321" s="123">
        <f>+J321*G321</f>
        <v>28.066666666666666</v>
      </c>
      <c r="L321" s="98">
        <f>+K321/Tiempos!$B$11</f>
        <v>6.1014492753623188E-2</v>
      </c>
      <c r="M321" s="238"/>
      <c r="N321" s="238"/>
      <c r="O321" s="238"/>
      <c r="P321" s="261">
        <f>+K321/Tiempos!$B$12</f>
        <v>3.0507246376811594E-2</v>
      </c>
      <c r="Q321" s="238"/>
    </row>
    <row r="322" spans="1:17" x14ac:dyDescent="0.35">
      <c r="A322" s="81"/>
      <c r="B322" s="81">
        <v>2</v>
      </c>
      <c r="C322" s="83">
        <v>1</v>
      </c>
      <c r="D322" s="83" t="s">
        <v>333</v>
      </c>
      <c r="E322" s="99" t="s">
        <v>670</v>
      </c>
      <c r="F322" s="81" t="str">
        <f>+Volumenes!D164</f>
        <v>SUM_CARRO_L2</v>
      </c>
      <c r="G322" s="180">
        <f>VLOOKUP(F322,Volumenes!$D$19:$G$346,4,FALSE)</f>
        <v>40</v>
      </c>
      <c r="H322" s="97"/>
      <c r="I322" s="98">
        <f>3/60</f>
        <v>0.05</v>
      </c>
      <c r="J322" s="110">
        <f>+I322*(1+Tiempos!$C$17)</f>
        <v>5.2625000000000005E-2</v>
      </c>
      <c r="K322" s="123">
        <f>+J322*G322</f>
        <v>2.1050000000000004</v>
      </c>
      <c r="L322" s="98">
        <f>+K322/Tiempos!$B$11</f>
        <v>4.5760869565217403E-3</v>
      </c>
      <c r="M322" s="238"/>
      <c r="N322" s="238"/>
      <c r="O322" s="238"/>
      <c r="P322" s="261">
        <f>+K322/Tiempos!$B$12</f>
        <v>2.2880434782608702E-3</v>
      </c>
      <c r="Q322" s="238"/>
    </row>
    <row r="323" spans="1:17" x14ac:dyDescent="0.35">
      <c r="A323" s="92"/>
      <c r="B323" s="92">
        <v>2</v>
      </c>
      <c r="C323" s="100">
        <v>1</v>
      </c>
      <c r="D323" s="100" t="s">
        <v>333</v>
      </c>
      <c r="E323" s="101" t="s">
        <v>1074</v>
      </c>
      <c r="F323" s="92" t="str">
        <f>+F322</f>
        <v>SUM_CARRO_L2</v>
      </c>
      <c r="G323" s="155">
        <f>VLOOKUP(F323,Volumenes!$D$19:$G$346,4,FALSE)</f>
        <v>40</v>
      </c>
      <c r="H323" s="102">
        <v>75</v>
      </c>
      <c r="I323" s="103">
        <f>+(H323/Tiempos!$B$29)/60</f>
        <v>0.64102564102564097</v>
      </c>
      <c r="J323" s="111">
        <f>+I323*(1+Tiempos!$C$17)</f>
        <v>0.67467948717948711</v>
      </c>
      <c r="K323" s="146">
        <f>+J323*G323</f>
        <v>26.987179487179485</v>
      </c>
      <c r="L323" s="103">
        <f>+K323/Tiempos!$B$11</f>
        <v>5.8667781493868448E-2</v>
      </c>
      <c r="M323" s="243"/>
      <c r="N323" s="243"/>
      <c r="O323" s="243"/>
      <c r="P323" s="262">
        <f>+K323/Tiempos!$B$12</f>
        <v>2.9333890746934224E-2</v>
      </c>
      <c r="Q323" s="243"/>
    </row>
    <row r="324" spans="1:17" x14ac:dyDescent="0.35">
      <c r="A324" s="81"/>
      <c r="B324" s="81">
        <v>2</v>
      </c>
      <c r="C324" s="83">
        <v>1</v>
      </c>
      <c r="D324" s="83" t="s">
        <v>333</v>
      </c>
      <c r="E324" s="99" t="s">
        <v>671</v>
      </c>
      <c r="F324" s="81" t="str">
        <f>+F323</f>
        <v>SUM_CARRO_L2</v>
      </c>
      <c r="G324" s="180">
        <f>VLOOKUP(F324,Volumenes!$D$19:$G$346,4,FALSE)</f>
        <v>40</v>
      </c>
      <c r="H324" s="97"/>
      <c r="I324" s="98">
        <f>3/60</f>
        <v>0.05</v>
      </c>
      <c r="J324" s="110">
        <f>+I324*(1+Tiempos!$C$17)</f>
        <v>5.2625000000000005E-2</v>
      </c>
      <c r="K324" s="123">
        <f t="shared" ref="K324:K325" si="44">+J324*G324</f>
        <v>2.1050000000000004</v>
      </c>
      <c r="L324" s="98">
        <f>+K324/Tiempos!$B$11</f>
        <v>4.5760869565217403E-3</v>
      </c>
      <c r="M324" s="238"/>
      <c r="N324" s="238"/>
      <c r="O324" s="238"/>
      <c r="P324" s="261">
        <f>+K324/Tiempos!$B$12</f>
        <v>2.2880434782608702E-3</v>
      </c>
      <c r="Q324" s="238"/>
    </row>
    <row r="325" spans="1:17" x14ac:dyDescent="0.35">
      <c r="A325" s="81"/>
      <c r="B325" s="81">
        <v>2</v>
      </c>
      <c r="C325" s="83">
        <v>1</v>
      </c>
      <c r="D325" s="83" t="s">
        <v>333</v>
      </c>
      <c r="E325" s="99" t="s">
        <v>885</v>
      </c>
      <c r="F325" s="81" t="str">
        <f>+F319</f>
        <v>CAR_SUM_L2</v>
      </c>
      <c r="G325" s="180">
        <f>VLOOKUP(F325,Volumenes!$D$19:$G$346,4,FALSE)</f>
        <v>80</v>
      </c>
      <c r="H325" s="97"/>
      <c r="I325" s="98">
        <f>40/60</f>
        <v>0.66666666666666663</v>
      </c>
      <c r="J325" s="110">
        <f>+I325*(1+Tiempos!$C$17)</f>
        <v>0.70166666666666666</v>
      </c>
      <c r="K325" s="123">
        <f t="shared" si="44"/>
        <v>56.133333333333333</v>
      </c>
      <c r="L325" s="98">
        <f>+K325/Tiempos!$B$11</f>
        <v>0.12202898550724638</v>
      </c>
      <c r="M325" s="238"/>
      <c r="N325" s="238"/>
      <c r="O325" s="238"/>
      <c r="P325" s="261">
        <f>+K325/Tiempos!$B$12</f>
        <v>6.1014492753623188E-2</v>
      </c>
      <c r="Q325" s="238"/>
    </row>
    <row r="326" spans="1:17" x14ac:dyDescent="0.35">
      <c r="A326" s="92"/>
      <c r="B326" s="92">
        <v>2</v>
      </c>
      <c r="C326" s="100">
        <v>1</v>
      </c>
      <c r="D326" s="100" t="s">
        <v>333</v>
      </c>
      <c r="E326" s="101" t="s">
        <v>673</v>
      </c>
      <c r="F326" s="92" t="str">
        <f>+F322</f>
        <v>SUM_CARRO_L2</v>
      </c>
      <c r="G326" s="155">
        <f>VLOOKUP(F326,Volumenes!$D$19:$G$346,4,FALSE)</f>
        <v>40</v>
      </c>
      <c r="H326" s="102">
        <v>25</v>
      </c>
      <c r="I326" s="103">
        <f>+(H326/Tiempos!$B$29)/60</f>
        <v>0.21367521367521369</v>
      </c>
      <c r="J326" s="111">
        <f>+I326*(1+Tiempos!$C$17)</f>
        <v>0.2248931623931624</v>
      </c>
      <c r="K326" s="146">
        <f>+J326*G326</f>
        <v>8.9957264957264957</v>
      </c>
      <c r="L326" s="103">
        <f>+K326/Tiempos!$B$11</f>
        <v>1.9555927164622816E-2</v>
      </c>
      <c r="M326" s="243"/>
      <c r="N326" s="243"/>
      <c r="O326" s="243"/>
      <c r="P326" s="262">
        <f>+K326/Tiempos!$B$12</f>
        <v>9.7779635823114081E-3</v>
      </c>
      <c r="Q326" s="243"/>
    </row>
    <row r="327" spans="1:17" x14ac:dyDescent="0.35">
      <c r="A327" s="81"/>
      <c r="B327" s="81">
        <v>2</v>
      </c>
      <c r="C327" s="83">
        <v>1</v>
      </c>
      <c r="D327" s="83" t="s">
        <v>333</v>
      </c>
      <c r="E327" s="99" t="s">
        <v>674</v>
      </c>
      <c r="F327" s="81" t="str">
        <f>+F325</f>
        <v>CAR_SUM_L2</v>
      </c>
      <c r="G327" s="180">
        <f>VLOOKUP(F327,Volumenes!$D$19:$G$346,4,FALSE)</f>
        <v>80</v>
      </c>
      <c r="H327" s="97"/>
      <c r="I327" s="98">
        <f>50/60</f>
        <v>0.83333333333333337</v>
      </c>
      <c r="J327" s="110">
        <f>+I327*(1+Tiempos!$C$17)</f>
        <v>0.87708333333333333</v>
      </c>
      <c r="K327" s="123">
        <f t="shared" ref="K327" si="45">+J327*G327</f>
        <v>70.166666666666671</v>
      </c>
      <c r="L327" s="98">
        <f>+K327/Tiempos!$B$11</f>
        <v>0.15253623188405799</v>
      </c>
      <c r="M327" s="238"/>
      <c r="N327" s="238"/>
      <c r="O327" s="238"/>
      <c r="P327" s="261">
        <f>+K327/Tiempos!$B$12</f>
        <v>7.6268115942028994E-2</v>
      </c>
      <c r="Q327" s="238"/>
    </row>
    <row r="328" spans="1:17" x14ac:dyDescent="0.35">
      <c r="A328" s="92"/>
      <c r="B328" s="92">
        <v>2</v>
      </c>
      <c r="C328" s="100">
        <v>1</v>
      </c>
      <c r="D328" s="100" t="s">
        <v>333</v>
      </c>
      <c r="E328" s="101" t="s">
        <v>1075</v>
      </c>
      <c r="F328" s="92" t="str">
        <f>+F326</f>
        <v>SUM_CARRO_L2</v>
      </c>
      <c r="G328" s="155">
        <f>VLOOKUP(F328,Volumenes!$D$19:$G$346,4,FALSE)</f>
        <v>40</v>
      </c>
      <c r="H328" s="102">
        <v>60</v>
      </c>
      <c r="I328" s="103">
        <f>+(H328/Tiempos!$B$29)/60</f>
        <v>0.51282051282051289</v>
      </c>
      <c r="J328" s="111">
        <f>+I328*(1+Tiempos!$C$17)</f>
        <v>0.53974358974358982</v>
      </c>
      <c r="K328" s="146">
        <f>+J328*G328</f>
        <v>21.589743589743591</v>
      </c>
      <c r="L328" s="103">
        <f>+K328/Tiempos!$B$11</f>
        <v>4.6934225195094763E-2</v>
      </c>
      <c r="M328" s="243"/>
      <c r="N328" s="243"/>
      <c r="O328" s="243"/>
      <c r="P328" s="262">
        <f>+K328/Tiempos!$B$12</f>
        <v>2.3467112597547381E-2</v>
      </c>
      <c r="Q328" s="243"/>
    </row>
    <row r="329" spans="1:17" x14ac:dyDescent="0.35">
      <c r="A329" s="92"/>
      <c r="B329" s="92">
        <v>2</v>
      </c>
      <c r="C329" s="100">
        <v>1</v>
      </c>
      <c r="D329" s="100" t="s">
        <v>46</v>
      </c>
      <c r="E329" s="101" t="s">
        <v>677</v>
      </c>
      <c r="F329" s="92" t="str">
        <f>+Volumenes!D160</f>
        <v>CONJ_TOT_L2</v>
      </c>
      <c r="G329" s="155">
        <f>VLOOKUP(F329,Volumenes!$D$19:$G$346,4,FALSE)</f>
        <v>280</v>
      </c>
      <c r="H329" s="102">
        <v>25</v>
      </c>
      <c r="I329" s="103">
        <f>+(H329/Tiempos!$B$28)/60</f>
        <v>0.28306159420289856</v>
      </c>
      <c r="J329" s="111">
        <f>+I329*(1+Tiempos!$C$17)</f>
        <v>0.29792232789855072</v>
      </c>
      <c r="K329" s="146">
        <f>+J329*G329</f>
        <v>83.418251811594203</v>
      </c>
      <c r="L329" s="103">
        <f>+K329/Tiempos!$B$11</f>
        <v>0.1813440256773787</v>
      </c>
      <c r="M329" s="243"/>
      <c r="N329" s="243"/>
      <c r="O329" s="243"/>
      <c r="P329" s="262">
        <f>+K329/Tiempos!$B$12</f>
        <v>9.067201283868935E-2</v>
      </c>
      <c r="Q329" s="243"/>
    </row>
    <row r="330" spans="1:17" x14ac:dyDescent="0.35">
      <c r="A330" s="81"/>
      <c r="B330" s="81">
        <v>2</v>
      </c>
      <c r="C330" s="83">
        <v>1</v>
      </c>
      <c r="D330" s="83" t="s">
        <v>333</v>
      </c>
      <c r="E330" s="99" t="s">
        <v>678</v>
      </c>
      <c r="F330" s="81" t="str">
        <f>+F329</f>
        <v>CONJ_TOT_L2</v>
      </c>
      <c r="G330" s="180">
        <f>VLOOKUP(F330,Volumenes!$D$19:$G$346,4,FALSE)</f>
        <v>280</v>
      </c>
      <c r="H330" s="97"/>
      <c r="I330" s="98">
        <f>25/60</f>
        <v>0.41666666666666669</v>
      </c>
      <c r="J330" s="110">
        <f>+I330*(1+Tiempos!$C$17)</f>
        <v>0.43854166666666666</v>
      </c>
      <c r="K330" s="123">
        <f t="shared" ref="K330:K331" si="46">+J330*G330</f>
        <v>122.79166666666667</v>
      </c>
      <c r="L330" s="98">
        <f>+K330/Tiempos!$B$11</f>
        <v>0.26693840579710149</v>
      </c>
      <c r="M330" s="238"/>
      <c r="N330" s="238"/>
      <c r="O330" s="238"/>
      <c r="P330" s="261">
        <f>+K330/Tiempos!$B$12</f>
        <v>0.13346920289855074</v>
      </c>
      <c r="Q330" s="238"/>
    </row>
    <row r="331" spans="1:17" x14ac:dyDescent="0.35">
      <c r="A331" s="81"/>
      <c r="B331" s="81">
        <v>2</v>
      </c>
      <c r="C331" s="83">
        <v>1</v>
      </c>
      <c r="D331" s="83" t="s">
        <v>333</v>
      </c>
      <c r="E331" s="99" t="s">
        <v>671</v>
      </c>
      <c r="F331" s="81" t="str">
        <f>+F328</f>
        <v>SUM_CARRO_L2</v>
      </c>
      <c r="G331" s="180">
        <f>VLOOKUP(F331,Volumenes!$D$19:$G$346,4,FALSE)</f>
        <v>40</v>
      </c>
      <c r="H331" s="97"/>
      <c r="I331" s="98">
        <f>3/60</f>
        <v>0.05</v>
      </c>
      <c r="J331" s="110">
        <f>+I331*(1+Tiempos!$C$17)</f>
        <v>5.2625000000000005E-2</v>
      </c>
      <c r="K331" s="123">
        <f t="shared" si="46"/>
        <v>2.1050000000000004</v>
      </c>
      <c r="L331" s="98">
        <f>+K331/Tiempos!$B$11</f>
        <v>4.5760869565217403E-3</v>
      </c>
      <c r="M331" s="238"/>
      <c r="N331" s="238"/>
      <c r="O331" s="238"/>
      <c r="P331" s="261">
        <f>+K331/Tiempos!$B$12</f>
        <v>2.2880434782608702E-3</v>
      </c>
      <c r="Q331" s="238"/>
    </row>
    <row r="332" spans="1:17" x14ac:dyDescent="0.35">
      <c r="A332" s="81"/>
      <c r="B332" s="81">
        <v>2</v>
      </c>
      <c r="C332" s="83">
        <v>1</v>
      </c>
      <c r="D332" s="83" t="s">
        <v>333</v>
      </c>
      <c r="E332" s="99" t="s">
        <v>675</v>
      </c>
      <c r="F332" s="81" t="str">
        <f>+F327</f>
        <v>CAR_SUM_L2</v>
      </c>
      <c r="G332" s="180">
        <f>VLOOKUP(F332,Volumenes!$D$19:$G$346,4,FALSE)</f>
        <v>80</v>
      </c>
      <c r="H332" s="97"/>
      <c r="I332" s="98">
        <f>50/60</f>
        <v>0.83333333333333337</v>
      </c>
      <c r="J332" s="110">
        <f>+I332*(1+Tiempos!$C$17)</f>
        <v>0.87708333333333333</v>
      </c>
      <c r="K332" s="123">
        <f>+J332*G332</f>
        <v>70.166666666666671</v>
      </c>
      <c r="L332" s="98">
        <f>+K332/Tiempos!$B$11</f>
        <v>0.15253623188405799</v>
      </c>
      <c r="M332" s="238"/>
      <c r="N332" s="238"/>
      <c r="O332" s="238"/>
      <c r="P332" s="261">
        <f>+K332/Tiempos!$B$12</f>
        <v>7.6268115942028994E-2</v>
      </c>
      <c r="Q332" s="238"/>
    </row>
    <row r="333" spans="1:17" x14ac:dyDescent="0.35">
      <c r="A333" s="92"/>
      <c r="B333" s="92">
        <v>2</v>
      </c>
      <c r="C333" s="100">
        <v>1</v>
      </c>
      <c r="D333" s="100" t="s">
        <v>333</v>
      </c>
      <c r="E333" s="101" t="s">
        <v>676</v>
      </c>
      <c r="F333" s="92" t="str">
        <f>+F331</f>
        <v>SUM_CARRO_L2</v>
      </c>
      <c r="G333" s="155">
        <f>VLOOKUP(F333,Volumenes!$D$19:$G$346,4,FALSE)</f>
        <v>40</v>
      </c>
      <c r="H333" s="102">
        <v>6</v>
      </c>
      <c r="I333" s="103">
        <f>+(H333/Tiempos!$B$29)/60</f>
        <v>5.1282051282051287E-2</v>
      </c>
      <c r="J333" s="111">
        <f>+I333*(1+Tiempos!$C$17)</f>
        <v>5.3974358974358982E-2</v>
      </c>
      <c r="K333" s="146">
        <f t="shared" ref="K333" si="47">+J333*G333</f>
        <v>2.1589743589743593</v>
      </c>
      <c r="L333" s="103">
        <f>+K333/Tiempos!$B$11</f>
        <v>4.6934225195094771E-3</v>
      </c>
      <c r="M333" s="243"/>
      <c r="N333" s="243"/>
      <c r="O333" s="243"/>
      <c r="P333" s="262">
        <f>+K333/Tiempos!$B$12</f>
        <v>2.3467112597547386E-3</v>
      </c>
      <c r="Q333" s="243"/>
    </row>
    <row r="334" spans="1:17" x14ac:dyDescent="0.35">
      <c r="A334" s="75"/>
      <c r="B334" s="75"/>
      <c r="E334" s="104"/>
      <c r="F334" s="75"/>
      <c r="G334" s="105"/>
      <c r="H334" s="105"/>
      <c r="I334" s="106"/>
      <c r="J334" s="107"/>
      <c r="K334" s="109"/>
      <c r="L334" s="141">
        <f>SUM(L319:L333)</f>
        <v>1.1382546536967024</v>
      </c>
      <c r="M334" s="141">
        <f>SUM(M319:M333)</f>
        <v>0</v>
      </c>
      <c r="N334" s="141">
        <f>SUM(N319:N333)</f>
        <v>0</v>
      </c>
      <c r="O334" s="141"/>
      <c r="P334" s="141">
        <f>SUM(P319:P333)</f>
        <v>0.56912732684835121</v>
      </c>
      <c r="Q334" s="141">
        <f>SUM(Q319:Q333)</f>
        <v>0</v>
      </c>
    </row>
    <row r="335" spans="1:17" x14ac:dyDescent="0.35">
      <c r="A335" s="75"/>
      <c r="B335" s="75"/>
      <c r="E335" s="104"/>
      <c r="F335" s="75"/>
      <c r="G335" s="105"/>
      <c r="H335" s="105"/>
      <c r="I335" s="109"/>
      <c r="J335" s="107"/>
      <c r="K335" s="109"/>
      <c r="L335" s="249"/>
    </row>
    <row r="336" spans="1:17" ht="13.15" x14ac:dyDescent="0.4">
      <c r="A336" s="84" t="s">
        <v>473</v>
      </c>
      <c r="B336" s="84"/>
      <c r="C336" s="70"/>
      <c r="D336" s="70"/>
      <c r="E336" s="94"/>
      <c r="F336" s="80"/>
      <c r="G336" s="80"/>
      <c r="H336" s="80"/>
      <c r="I336" s="80"/>
      <c r="J336" s="80"/>
      <c r="K336" s="80"/>
      <c r="L336" s="80"/>
    </row>
    <row r="337" spans="1:17" x14ac:dyDescent="0.35">
      <c r="A337" s="81"/>
      <c r="B337" s="81">
        <v>2</v>
      </c>
      <c r="C337" s="83">
        <v>1</v>
      </c>
      <c r="D337" s="83" t="s">
        <v>327</v>
      </c>
      <c r="E337" s="99" t="s">
        <v>398</v>
      </c>
      <c r="F337" s="81" t="s">
        <v>407</v>
      </c>
      <c r="G337" s="143">
        <f>VLOOKUP(F337,Volumenes!$D$19:$G$346,4,FALSE)</f>
        <v>49.321254050297533</v>
      </c>
      <c r="H337" s="97"/>
      <c r="I337" s="98">
        <f>8/60</f>
        <v>0.13333333333333333</v>
      </c>
      <c r="J337" s="110">
        <f>+I337*(1+Tiempos!$C$17)</f>
        <v>0.14033333333333334</v>
      </c>
      <c r="K337" s="98">
        <f>+J337*G337</f>
        <v>6.9214159850584203</v>
      </c>
      <c r="L337" s="98">
        <f>+K337/Tiempos!$B$11</f>
        <v>1.5046556489257436E-2</v>
      </c>
      <c r="M337" s="261">
        <f>+K337/Tiempos!$B$12</f>
        <v>7.5232782446287179E-3</v>
      </c>
      <c r="N337" s="238"/>
      <c r="O337" s="238"/>
      <c r="P337" s="238"/>
      <c r="Q337" s="238"/>
    </row>
    <row r="338" spans="1:17" x14ac:dyDescent="0.35">
      <c r="A338" s="81"/>
      <c r="B338" s="81">
        <v>2</v>
      </c>
      <c r="C338" s="83">
        <v>1</v>
      </c>
      <c r="D338" s="83" t="s">
        <v>327</v>
      </c>
      <c r="E338" s="99" t="s">
        <v>469</v>
      </c>
      <c r="F338" s="81" t="s">
        <v>410</v>
      </c>
      <c r="G338" s="143">
        <f>VLOOKUP(F338,Volumenes!$D$19:$G$346,4,FALSE)</f>
        <v>2</v>
      </c>
      <c r="H338" s="97"/>
      <c r="I338" s="98">
        <f>25/60</f>
        <v>0.41666666666666669</v>
      </c>
      <c r="J338" s="110">
        <f>+I338*(1+Tiempos!$C$17)</f>
        <v>0.43854166666666666</v>
      </c>
      <c r="K338" s="98">
        <f>+J338*G338</f>
        <v>0.87708333333333333</v>
      </c>
      <c r="L338" s="98">
        <f>+K338/Tiempos!$B$11</f>
        <v>1.9067028985507246E-3</v>
      </c>
      <c r="M338" s="261">
        <f>+K338/Tiempos!$B$12</f>
        <v>9.5335144927536232E-4</v>
      </c>
      <c r="N338" s="238"/>
      <c r="O338" s="238"/>
      <c r="P338" s="238"/>
      <c r="Q338" s="238"/>
    </row>
    <row r="339" spans="1:17" x14ac:dyDescent="0.35">
      <c r="A339" s="92"/>
      <c r="B339" s="92">
        <v>2</v>
      </c>
      <c r="C339" s="100">
        <v>1</v>
      </c>
      <c r="D339" s="100" t="s">
        <v>327</v>
      </c>
      <c r="E339" s="101" t="s">
        <v>393</v>
      </c>
      <c r="F339" s="92" t="s">
        <v>410</v>
      </c>
      <c r="G339" s="144">
        <f>VLOOKUP(F339,Volumenes!$D$19:$G$346,4,FALSE)</f>
        <v>2</v>
      </c>
      <c r="H339" s="102">
        <f>VLOOKUP(F339,Tiempos!$D$42:$F$131,2,FALSE)</f>
        <v>200</v>
      </c>
      <c r="I339" s="103">
        <f>VLOOKUP(F339,Tiempos!$D$42:$F$117,3,FALSE)</f>
        <v>1.7094017094017095</v>
      </c>
      <c r="J339" s="111">
        <f>+I339*(1+Tiempos!$C$17)</f>
        <v>1.7991452991452992</v>
      </c>
      <c r="K339" s="103">
        <f>+J339*G339</f>
        <v>3.5982905982905984</v>
      </c>
      <c r="L339" s="103">
        <f>+K339/Tiempos!$B$11</f>
        <v>7.8223708658491271E-3</v>
      </c>
      <c r="M339" s="262">
        <f>+K339/Tiempos!$B$12</f>
        <v>3.9111854329245636E-3</v>
      </c>
      <c r="N339" s="243"/>
      <c r="O339" s="243"/>
      <c r="P339" s="243"/>
      <c r="Q339" s="243"/>
    </row>
    <row r="340" spans="1:17" x14ac:dyDescent="0.35">
      <c r="A340" s="81"/>
      <c r="B340" s="81">
        <v>2</v>
      </c>
      <c r="C340" s="83">
        <v>1</v>
      </c>
      <c r="D340" s="83" t="s">
        <v>327</v>
      </c>
      <c r="E340" s="99" t="s">
        <v>470</v>
      </c>
      <c r="F340" s="81" t="str">
        <f>+F341</f>
        <v>CAJ_DOB_8</v>
      </c>
      <c r="G340" s="143">
        <f>VLOOKUP(F340,Volumenes!$D$19:$G$346,4,FALSE)</f>
        <v>49.321254050297533</v>
      </c>
      <c r="H340" s="97"/>
      <c r="I340" s="98">
        <f>15/60</f>
        <v>0.25</v>
      </c>
      <c r="J340" s="110">
        <f>+I340*(1+Tiempos!$C$17)</f>
        <v>0.263125</v>
      </c>
      <c r="K340" s="98">
        <f t="shared" ref="K340:K342" si="48">+J340*G340</f>
        <v>12.977654971984538</v>
      </c>
      <c r="L340" s="98">
        <f>+K340/Tiempos!$B$11</f>
        <v>2.8212293417357693E-2</v>
      </c>
      <c r="M340" s="261">
        <f>+K340/Tiempos!$B$12</f>
        <v>1.4106146708678846E-2</v>
      </c>
      <c r="N340" s="238"/>
      <c r="O340" s="238"/>
      <c r="P340" s="238"/>
      <c r="Q340" s="238"/>
    </row>
    <row r="341" spans="1:17" x14ac:dyDescent="0.35">
      <c r="A341" s="81"/>
      <c r="B341" s="81">
        <v>2</v>
      </c>
      <c r="C341" s="83">
        <v>1</v>
      </c>
      <c r="D341" s="83" t="s">
        <v>327</v>
      </c>
      <c r="E341" s="99" t="s">
        <v>399</v>
      </c>
      <c r="F341" s="81" t="s">
        <v>407</v>
      </c>
      <c r="G341" s="143">
        <f>VLOOKUP(F341,Volumenes!$D$19:$G$346,4,FALSE)</f>
        <v>49.321254050297533</v>
      </c>
      <c r="H341" s="97"/>
      <c r="I341" s="98">
        <f>15/60</f>
        <v>0.25</v>
      </c>
      <c r="J341" s="110">
        <f>+I341*(1+Tiempos!$C$17)</f>
        <v>0.263125</v>
      </c>
      <c r="K341" s="98">
        <f t="shared" si="48"/>
        <v>12.977654971984538</v>
      </c>
      <c r="L341" s="98">
        <f>+K341/Tiempos!$B$11</f>
        <v>2.8212293417357693E-2</v>
      </c>
      <c r="M341" s="261">
        <f>+K341/Tiempos!$B$12</f>
        <v>1.4106146708678846E-2</v>
      </c>
      <c r="N341" s="238"/>
      <c r="O341" s="238"/>
      <c r="P341" s="238"/>
      <c r="Q341" s="238"/>
    </row>
    <row r="342" spans="1:17" x14ac:dyDescent="0.35">
      <c r="A342" s="81"/>
      <c r="B342" s="81">
        <v>2</v>
      </c>
      <c r="C342" s="83">
        <v>1</v>
      </c>
      <c r="D342" s="83" t="s">
        <v>327</v>
      </c>
      <c r="E342" s="99" t="s">
        <v>394</v>
      </c>
      <c r="F342" s="81" t="s">
        <v>407</v>
      </c>
      <c r="G342" s="143">
        <f>VLOOKUP(F342,Volumenes!$D$19:$G$346,4,FALSE)</f>
        <v>49.321254050297533</v>
      </c>
      <c r="H342" s="97"/>
      <c r="I342" s="98">
        <f>18/60</f>
        <v>0.3</v>
      </c>
      <c r="J342" s="110">
        <f>+I342*(1+Tiempos!$C$17)</f>
        <v>0.31574999999999998</v>
      </c>
      <c r="K342" s="98">
        <f t="shared" si="48"/>
        <v>15.573185966381445</v>
      </c>
      <c r="L342" s="98">
        <f>+K342/Tiempos!$B$11</f>
        <v>3.3854752100829229E-2</v>
      </c>
      <c r="M342" s="261">
        <f>+K342/Tiempos!$B$12</f>
        <v>1.6927376050414614E-2</v>
      </c>
      <c r="N342" s="238"/>
      <c r="O342" s="238"/>
      <c r="P342" s="238"/>
      <c r="Q342" s="238"/>
    </row>
    <row r="343" spans="1:17" x14ac:dyDescent="0.35">
      <c r="A343" s="81"/>
      <c r="B343" s="81">
        <v>2</v>
      </c>
      <c r="C343" s="83">
        <v>1</v>
      </c>
      <c r="D343" s="83" t="s">
        <v>327</v>
      </c>
      <c r="E343" s="99" t="s">
        <v>395</v>
      </c>
      <c r="F343" s="81" t="s">
        <v>407</v>
      </c>
      <c r="G343" s="143">
        <f>VLOOKUP(F343,Volumenes!$D$19:$G$346,4,FALSE)</f>
        <v>49.321254050297533</v>
      </c>
      <c r="H343" s="97"/>
      <c r="I343" s="98">
        <f>8/60</f>
        <v>0.13333333333333333</v>
      </c>
      <c r="J343" s="110">
        <f>+I343*(1+Tiempos!$C$17)</f>
        <v>0.14033333333333334</v>
      </c>
      <c r="K343" s="98">
        <f>+J343*G343</f>
        <v>6.9214159850584203</v>
      </c>
      <c r="L343" s="98">
        <f>+K343/Tiempos!$B$11</f>
        <v>1.5046556489257436E-2</v>
      </c>
      <c r="M343" s="261">
        <f>+K343/Tiempos!$B$12</f>
        <v>7.5232782446287179E-3</v>
      </c>
      <c r="N343" s="238"/>
      <c r="O343" s="238"/>
      <c r="P343" s="238"/>
      <c r="Q343" s="238"/>
    </row>
    <row r="344" spans="1:17" x14ac:dyDescent="0.35">
      <c r="A344" s="92"/>
      <c r="B344" s="92">
        <v>2</v>
      </c>
      <c r="C344" s="100">
        <v>1</v>
      </c>
      <c r="D344" s="100" t="s">
        <v>327</v>
      </c>
      <c r="E344" s="101" t="s">
        <v>396</v>
      </c>
      <c r="F344" s="92" t="s">
        <v>410</v>
      </c>
      <c r="G344" s="144">
        <f>VLOOKUP(F344,Volumenes!$D$19:$G$346,4,FALSE)</f>
        <v>2</v>
      </c>
      <c r="H344" s="102">
        <f>VLOOKUP(F344,Tiempos!$D$42:$F$131,2,FALSE)</f>
        <v>200</v>
      </c>
      <c r="I344" s="103">
        <f>VLOOKUP(F344,Tiempos!$D$42:$F$117,3,FALSE)</f>
        <v>1.7094017094017095</v>
      </c>
      <c r="J344" s="111">
        <f>+I344*(1+Tiempos!$C$17)</f>
        <v>1.7991452991452992</v>
      </c>
      <c r="K344" s="103">
        <f>+J344*G344</f>
        <v>3.5982905982905984</v>
      </c>
      <c r="L344" s="103">
        <f>+K344/Tiempos!$B$11</f>
        <v>7.8223708658491271E-3</v>
      </c>
      <c r="M344" s="262">
        <f>+K344/Tiempos!$B$12</f>
        <v>3.9111854329245636E-3</v>
      </c>
      <c r="N344" s="243"/>
      <c r="O344" s="243"/>
      <c r="P344" s="243"/>
      <c r="Q344" s="243"/>
    </row>
    <row r="345" spans="1:17" x14ac:dyDescent="0.35">
      <c r="A345" s="81"/>
      <c r="B345" s="81">
        <v>2</v>
      </c>
      <c r="C345" s="83">
        <v>1</v>
      </c>
      <c r="D345" s="83" t="s">
        <v>327</v>
      </c>
      <c r="E345" s="99" t="s">
        <v>400</v>
      </c>
      <c r="F345" s="81" t="s">
        <v>407</v>
      </c>
      <c r="G345" s="143">
        <f>VLOOKUP(F345,Volumenes!$D$19:$G$346,4,FALSE)</f>
        <v>49.321254050297533</v>
      </c>
      <c r="H345" s="97"/>
      <c r="I345" s="98">
        <f>15/60</f>
        <v>0.25</v>
      </c>
      <c r="J345" s="110">
        <f>+I345*(1+Tiempos!$C$17)</f>
        <v>0.263125</v>
      </c>
      <c r="K345" s="98">
        <f>+J345*G345</f>
        <v>12.977654971984538</v>
      </c>
      <c r="L345" s="271">
        <f>+K345/Tiempos!$B$11</f>
        <v>2.8212293417357693E-2</v>
      </c>
      <c r="M345" s="261">
        <f>+K345/Tiempos!$B$12</f>
        <v>1.4106146708678846E-2</v>
      </c>
      <c r="N345" s="246"/>
      <c r="O345" s="246"/>
      <c r="P345" s="246"/>
      <c r="Q345" s="246"/>
    </row>
    <row r="346" spans="1:17" x14ac:dyDescent="0.35">
      <c r="A346" s="92"/>
      <c r="B346" s="92">
        <v>2</v>
      </c>
      <c r="C346" s="100">
        <v>1</v>
      </c>
      <c r="D346" s="100" t="s">
        <v>327</v>
      </c>
      <c r="E346" s="101" t="s">
        <v>397</v>
      </c>
      <c r="F346" s="92" t="s">
        <v>410</v>
      </c>
      <c r="G346" s="144">
        <f>VLOOKUP(F346,Volumenes!$D$19:$G$346,4,FALSE)</f>
        <v>2</v>
      </c>
      <c r="H346" s="102">
        <v>15</v>
      </c>
      <c r="I346" s="103">
        <f>+(H346/Tiempos!$B$29)/60</f>
        <v>0.12820512820512822</v>
      </c>
      <c r="J346" s="111">
        <f>+I346*(1+Tiempos!$C$17)</f>
        <v>0.13493589743589746</v>
      </c>
      <c r="K346" s="103">
        <f>+J346*G346</f>
        <v>0.26987179487179491</v>
      </c>
      <c r="L346" s="103">
        <f>+K346/Tiempos!$B$11</f>
        <v>5.8667781493868464E-4</v>
      </c>
      <c r="M346" s="262">
        <f>+K346/Tiempos!$B$12</f>
        <v>2.9333890746934232E-4</v>
      </c>
      <c r="N346" s="243"/>
      <c r="O346" s="243"/>
      <c r="P346" s="243"/>
      <c r="Q346" s="243"/>
    </row>
    <row r="347" spans="1:17" x14ac:dyDescent="0.35">
      <c r="A347" s="75"/>
      <c r="B347" s="75"/>
      <c r="E347" s="104"/>
      <c r="F347" s="75"/>
      <c r="G347" s="152"/>
      <c r="H347" s="105"/>
      <c r="I347" s="109"/>
      <c r="J347" s="107"/>
      <c r="K347" s="109"/>
      <c r="L347" s="98">
        <f>SUM(L337:L345)</f>
        <v>0.16613618996166618</v>
      </c>
      <c r="M347" s="141">
        <f>SUM(M337:M345)</f>
        <v>8.306809498083309E-2</v>
      </c>
      <c r="N347" s="141">
        <f>SUM(N337:N345)</f>
        <v>0</v>
      </c>
      <c r="O347" s="141"/>
      <c r="P347" s="141">
        <f>SUM(P337:P345)</f>
        <v>0</v>
      </c>
      <c r="Q347" s="141">
        <f>SUM(Q337:Q345)</f>
        <v>0</v>
      </c>
    </row>
    <row r="348" spans="1:17" x14ac:dyDescent="0.35">
      <c r="A348" s="75"/>
      <c r="B348" s="75"/>
      <c r="E348" s="104"/>
      <c r="F348" s="75"/>
      <c r="G348" s="152"/>
      <c r="H348" s="105"/>
      <c r="I348" s="109"/>
      <c r="J348" s="107"/>
      <c r="K348" s="109"/>
      <c r="L348" s="249"/>
      <c r="M348" s="249"/>
      <c r="N348" s="249"/>
      <c r="O348" s="249"/>
      <c r="P348" s="249"/>
      <c r="Q348" s="249"/>
    </row>
    <row r="349" spans="1:17" ht="13.15" x14ac:dyDescent="0.4">
      <c r="A349" s="84" t="s">
        <v>472</v>
      </c>
      <c r="B349" s="84"/>
      <c r="C349" s="70"/>
      <c r="D349" s="70"/>
      <c r="E349" s="94"/>
      <c r="F349" s="80"/>
      <c r="G349" s="154"/>
      <c r="H349" s="80"/>
      <c r="I349" s="80"/>
      <c r="J349" s="80"/>
      <c r="K349" s="80"/>
      <c r="L349" s="80"/>
    </row>
    <row r="350" spans="1:17" x14ac:dyDescent="0.35">
      <c r="A350" s="81"/>
      <c r="B350" s="81">
        <v>2</v>
      </c>
      <c r="C350" s="83">
        <v>1</v>
      </c>
      <c r="D350" s="83" t="s">
        <v>327</v>
      </c>
      <c r="E350" s="99" t="s">
        <v>398</v>
      </c>
      <c r="F350" s="81" t="s">
        <v>408</v>
      </c>
      <c r="G350" s="143">
        <f>VLOOKUP(F350,Volumenes!$D$19:$G$346,4,FALSE)</f>
        <v>32.880836033531693</v>
      </c>
      <c r="H350" s="97"/>
      <c r="I350" s="98">
        <f>8/60</f>
        <v>0.13333333333333333</v>
      </c>
      <c r="J350" s="110">
        <f>+I350*(1+Tiempos!$C$17)</f>
        <v>0.14033333333333334</v>
      </c>
      <c r="K350" s="98">
        <f>+J350*G350</f>
        <v>4.6142773233722814</v>
      </c>
      <c r="L350" s="98">
        <f>+K350/Tiempos!$B$11</f>
        <v>1.0031037659504959E-2</v>
      </c>
      <c r="M350" s="261">
        <f>+K350/Tiempos!$B$12</f>
        <v>5.0155188297524795E-3</v>
      </c>
      <c r="N350" s="238"/>
      <c r="O350" s="238"/>
      <c r="P350" s="238"/>
      <c r="Q350" s="238"/>
    </row>
    <row r="351" spans="1:17" x14ac:dyDescent="0.35">
      <c r="A351" s="81"/>
      <c r="B351" s="81">
        <v>2</v>
      </c>
      <c r="C351" s="83">
        <v>1</v>
      </c>
      <c r="D351" s="83" t="s">
        <v>327</v>
      </c>
      <c r="E351" s="99" t="s">
        <v>469</v>
      </c>
      <c r="F351" s="81" t="str">
        <f t="shared" ref="F351:F359" si="49">+F350</f>
        <v>CAJ_DOB_35</v>
      </c>
      <c r="G351" s="143">
        <f>VLOOKUP(F351,Volumenes!$D$19:$G$346,4,FALSE)</f>
        <v>32.880836033531693</v>
      </c>
      <c r="H351" s="97"/>
      <c r="I351" s="98">
        <f>25/60</f>
        <v>0.41666666666666669</v>
      </c>
      <c r="J351" s="110">
        <f>+I351*(1+Tiempos!$C$17)</f>
        <v>0.43854166666666666</v>
      </c>
      <c r="K351" s="98">
        <f>+J351*G351</f>
        <v>14.419616635538377</v>
      </c>
      <c r="L351" s="98">
        <f>+K351/Tiempos!$B$11</f>
        <v>3.1346992685952993E-2</v>
      </c>
      <c r="M351" s="261">
        <f>+K351/Tiempos!$B$12</f>
        <v>1.5673496342976496E-2</v>
      </c>
      <c r="N351" s="238"/>
      <c r="O351" s="238"/>
      <c r="P351" s="238"/>
      <c r="Q351" s="238"/>
    </row>
    <row r="352" spans="1:17" x14ac:dyDescent="0.35">
      <c r="A352" s="92"/>
      <c r="B352" s="92">
        <v>2</v>
      </c>
      <c r="C352" s="100">
        <v>1</v>
      </c>
      <c r="D352" s="100" t="s">
        <v>327</v>
      </c>
      <c r="E352" s="101" t="s">
        <v>393</v>
      </c>
      <c r="F352" s="92" t="str">
        <f t="shared" si="49"/>
        <v>CAJ_DOB_35</v>
      </c>
      <c r="G352" s="144">
        <f>VLOOKUP(F352,Volumenes!$D$19:$G$346,4,FALSE)</f>
        <v>32.880836033531693</v>
      </c>
      <c r="H352" s="102">
        <v>70</v>
      </c>
      <c r="I352" s="103">
        <f>+(H352/Tiempos!$B$29)/60</f>
        <v>0.59829059829059827</v>
      </c>
      <c r="J352" s="111">
        <f>+I352*(1+Tiempos!$C$17)</f>
        <v>0.62970085470085468</v>
      </c>
      <c r="K352" s="103">
        <f>+J352*G352</f>
        <v>20.705090553593568</v>
      </c>
      <c r="L352" s="103">
        <f>+K352/Tiempos!$B$11</f>
        <v>4.5011066420855582E-2</v>
      </c>
      <c r="M352" s="262">
        <f>+K352/Tiempos!$B$12</f>
        <v>2.2505533210427791E-2</v>
      </c>
      <c r="N352" s="243"/>
      <c r="O352" s="243"/>
      <c r="P352" s="243"/>
      <c r="Q352" s="243"/>
    </row>
    <row r="353" spans="1:17" x14ac:dyDescent="0.35">
      <c r="A353" s="81"/>
      <c r="B353" s="81">
        <v>2</v>
      </c>
      <c r="C353" s="83">
        <v>1</v>
      </c>
      <c r="D353" s="83" t="s">
        <v>327</v>
      </c>
      <c r="E353" s="99" t="s">
        <v>470</v>
      </c>
      <c r="F353" s="81" t="str">
        <f t="shared" si="49"/>
        <v>CAJ_DOB_35</v>
      </c>
      <c r="G353" s="143">
        <f>VLOOKUP(F353,Volumenes!$D$19:$G$346,4,FALSE)</f>
        <v>32.880836033531693</v>
      </c>
      <c r="H353" s="97"/>
      <c r="I353" s="98">
        <f>15/60</f>
        <v>0.25</v>
      </c>
      <c r="J353" s="110">
        <f>+I353*(1+Tiempos!$C$17)</f>
        <v>0.263125</v>
      </c>
      <c r="K353" s="98">
        <f t="shared" ref="K353:K355" si="50">+J353*G353</f>
        <v>8.6517699813230262</v>
      </c>
      <c r="L353" s="98">
        <f>+K353/Tiempos!$B$11</f>
        <v>1.8808195611571796E-2</v>
      </c>
      <c r="M353" s="261">
        <f>+K353/Tiempos!$B$12</f>
        <v>9.4040978057858982E-3</v>
      </c>
      <c r="N353" s="238"/>
      <c r="O353" s="238"/>
      <c r="P353" s="238"/>
      <c r="Q353" s="238"/>
    </row>
    <row r="354" spans="1:17" x14ac:dyDescent="0.35">
      <c r="A354" s="81"/>
      <c r="B354" s="81">
        <v>2</v>
      </c>
      <c r="C354" s="83">
        <v>1</v>
      </c>
      <c r="D354" s="83" t="s">
        <v>327</v>
      </c>
      <c r="E354" s="99" t="s">
        <v>399</v>
      </c>
      <c r="F354" s="81" t="str">
        <f t="shared" si="49"/>
        <v>CAJ_DOB_35</v>
      </c>
      <c r="G354" s="143">
        <f>VLOOKUP(F354,Volumenes!$D$19:$G$346,4,FALSE)</f>
        <v>32.880836033531693</v>
      </c>
      <c r="H354" s="97"/>
      <c r="I354" s="98">
        <f>15/60</f>
        <v>0.25</v>
      </c>
      <c r="J354" s="110">
        <f>+I354*(1+Tiempos!$C$17)</f>
        <v>0.263125</v>
      </c>
      <c r="K354" s="98">
        <f t="shared" si="50"/>
        <v>8.6517699813230262</v>
      </c>
      <c r="L354" s="98">
        <f>+K354/Tiempos!$B$11</f>
        <v>1.8808195611571796E-2</v>
      </c>
      <c r="M354" s="261">
        <f>+K354/Tiempos!$B$12</f>
        <v>9.4040978057858982E-3</v>
      </c>
      <c r="N354" s="238"/>
      <c r="O354" s="238"/>
      <c r="P354" s="238"/>
      <c r="Q354" s="238"/>
    </row>
    <row r="355" spans="1:17" x14ac:dyDescent="0.35">
      <c r="A355" s="81"/>
      <c r="B355" s="81">
        <v>2</v>
      </c>
      <c r="C355" s="83">
        <v>1</v>
      </c>
      <c r="D355" s="83" t="s">
        <v>327</v>
      </c>
      <c r="E355" s="99" t="s">
        <v>394</v>
      </c>
      <c r="F355" s="81" t="str">
        <f t="shared" si="49"/>
        <v>CAJ_DOB_35</v>
      </c>
      <c r="G355" s="143">
        <f>VLOOKUP(F355,Volumenes!$D$19:$G$346,4,FALSE)</f>
        <v>32.880836033531693</v>
      </c>
      <c r="H355" s="97"/>
      <c r="I355" s="98">
        <f>18/60</f>
        <v>0.3</v>
      </c>
      <c r="J355" s="110">
        <f>+I355*(1+Tiempos!$C$17)</f>
        <v>0.31574999999999998</v>
      </c>
      <c r="K355" s="98">
        <f t="shared" si="50"/>
        <v>10.382123977587632</v>
      </c>
      <c r="L355" s="98">
        <f>+K355/Tiempos!$B$11</f>
        <v>2.2569834733886157E-2</v>
      </c>
      <c r="M355" s="261">
        <f>+K355/Tiempos!$B$12</f>
        <v>1.1284917366943079E-2</v>
      </c>
      <c r="N355" s="238"/>
      <c r="O355" s="238"/>
      <c r="P355" s="238"/>
      <c r="Q355" s="238"/>
    </row>
    <row r="356" spans="1:17" x14ac:dyDescent="0.35">
      <c r="A356" s="81"/>
      <c r="B356" s="81">
        <v>2</v>
      </c>
      <c r="C356" s="83">
        <v>1</v>
      </c>
      <c r="D356" s="83" t="s">
        <v>327</v>
      </c>
      <c r="E356" s="99" t="s">
        <v>395</v>
      </c>
      <c r="F356" s="81" t="str">
        <f t="shared" si="49"/>
        <v>CAJ_DOB_35</v>
      </c>
      <c r="G356" s="143">
        <f>VLOOKUP(F356,Volumenes!$D$19:$G$346,4,FALSE)</f>
        <v>32.880836033531693</v>
      </c>
      <c r="H356" s="97"/>
      <c r="I356" s="98">
        <f>8/60</f>
        <v>0.13333333333333333</v>
      </c>
      <c r="J356" s="110">
        <f>+I356*(1+Tiempos!$C$17)</f>
        <v>0.14033333333333334</v>
      </c>
      <c r="K356" s="98">
        <f>+J356*G356</f>
        <v>4.6142773233722814</v>
      </c>
      <c r="L356" s="98">
        <f>+K356/Tiempos!$B$11</f>
        <v>1.0031037659504959E-2</v>
      </c>
      <c r="M356" s="261">
        <f>+K356/Tiempos!$B$12</f>
        <v>5.0155188297524795E-3</v>
      </c>
      <c r="N356" s="238"/>
      <c r="O356" s="238"/>
      <c r="P356" s="238"/>
      <c r="Q356" s="238"/>
    </row>
    <row r="357" spans="1:17" x14ac:dyDescent="0.35">
      <c r="A357" s="92"/>
      <c r="B357" s="92">
        <v>2</v>
      </c>
      <c r="C357" s="100">
        <v>1</v>
      </c>
      <c r="D357" s="100" t="s">
        <v>327</v>
      </c>
      <c r="E357" s="101" t="s">
        <v>396</v>
      </c>
      <c r="F357" s="92" t="str">
        <f t="shared" si="49"/>
        <v>CAJ_DOB_35</v>
      </c>
      <c r="G357" s="144">
        <f>VLOOKUP(F357,Volumenes!$D$19:$G$346,4,FALSE)</f>
        <v>32.880836033531693</v>
      </c>
      <c r="H357" s="102">
        <v>70</v>
      </c>
      <c r="I357" s="103">
        <f>+(H357/Tiempos!$B$29)/60</f>
        <v>0.59829059829059827</v>
      </c>
      <c r="J357" s="111">
        <f>+I357*(1+Tiempos!$C$17)</f>
        <v>0.62970085470085468</v>
      </c>
      <c r="K357" s="103">
        <f>+J357*G357</f>
        <v>20.705090553593568</v>
      </c>
      <c r="L357" s="103">
        <f>+K357/Tiempos!$B$11</f>
        <v>4.5011066420855582E-2</v>
      </c>
      <c r="M357" s="262">
        <f>+K357/Tiempos!$B$12</f>
        <v>2.2505533210427791E-2</v>
      </c>
      <c r="N357" s="243"/>
      <c r="O357" s="243"/>
      <c r="P357" s="243"/>
      <c r="Q357" s="243"/>
    </row>
    <row r="358" spans="1:17" x14ac:dyDescent="0.35">
      <c r="A358" s="81"/>
      <c r="B358" s="81">
        <v>2</v>
      </c>
      <c r="C358" s="83">
        <v>1</v>
      </c>
      <c r="D358" s="83" t="s">
        <v>327</v>
      </c>
      <c r="E358" s="99" t="s">
        <v>400</v>
      </c>
      <c r="F358" s="81" t="str">
        <f t="shared" si="49"/>
        <v>CAJ_DOB_35</v>
      </c>
      <c r="G358" s="143">
        <f>VLOOKUP(F358,Volumenes!$D$19:$G$346,4,FALSE)</f>
        <v>32.880836033531693</v>
      </c>
      <c r="H358" s="97"/>
      <c r="I358" s="98">
        <f>15/60</f>
        <v>0.25</v>
      </c>
      <c r="J358" s="110">
        <f>+I358*(1+Tiempos!$C$17)</f>
        <v>0.263125</v>
      </c>
      <c r="K358" s="98">
        <f>+J358*G358</f>
        <v>8.6517699813230262</v>
      </c>
      <c r="L358" s="271">
        <f>+K358/Tiempos!$B$11</f>
        <v>1.8808195611571796E-2</v>
      </c>
      <c r="M358" s="261">
        <f>+K358/Tiempos!$B$12</f>
        <v>9.4040978057858982E-3</v>
      </c>
      <c r="N358" s="246"/>
      <c r="O358" s="246"/>
      <c r="P358" s="246"/>
      <c r="Q358" s="246"/>
    </row>
    <row r="359" spans="1:17" x14ac:dyDescent="0.35">
      <c r="A359" s="92"/>
      <c r="B359" s="92">
        <v>2</v>
      </c>
      <c r="C359" s="100">
        <v>1</v>
      </c>
      <c r="D359" s="100" t="s">
        <v>327</v>
      </c>
      <c r="E359" s="101" t="s">
        <v>397</v>
      </c>
      <c r="F359" s="92" t="str">
        <f t="shared" si="49"/>
        <v>CAJ_DOB_35</v>
      </c>
      <c r="G359" s="144">
        <f>VLOOKUP(F359,Volumenes!$D$19:$G$346,4,FALSE)</f>
        <v>32.880836033531693</v>
      </c>
      <c r="H359" s="102">
        <v>15</v>
      </c>
      <c r="I359" s="103">
        <f>+(H359/Tiempos!$B$29)/60</f>
        <v>0.12820512820512822</v>
      </c>
      <c r="J359" s="111">
        <f>+I359*(1+Tiempos!$C$17)</f>
        <v>0.13493589743589746</v>
      </c>
      <c r="K359" s="103">
        <f>+J359*G359</f>
        <v>4.436805118627194</v>
      </c>
      <c r="L359" s="103">
        <f>+K359/Tiempos!$B$11</f>
        <v>9.6452285187547688E-3</v>
      </c>
      <c r="M359" s="262">
        <f>+K359/Tiempos!$B$12</f>
        <v>4.8226142593773844E-3</v>
      </c>
      <c r="N359" s="243"/>
      <c r="O359" s="243"/>
      <c r="P359" s="243"/>
      <c r="Q359" s="243"/>
    </row>
    <row r="360" spans="1:17" x14ac:dyDescent="0.35">
      <c r="A360" s="75"/>
      <c r="B360" s="75"/>
      <c r="E360" s="104"/>
      <c r="F360" s="75"/>
      <c r="G360" s="152"/>
      <c r="H360" s="105"/>
      <c r="I360" s="109"/>
      <c r="J360" s="107"/>
      <c r="K360" s="109"/>
      <c r="L360" s="141">
        <f>SUM(L350:L358)</f>
        <v>0.22042562241527563</v>
      </c>
      <c r="M360" s="141">
        <f>SUM(M350:M358)</f>
        <v>0.11021281120763782</v>
      </c>
      <c r="N360" s="141">
        <f>SUM(N350:N358)</f>
        <v>0</v>
      </c>
      <c r="O360" s="141"/>
      <c r="P360" s="141">
        <f>SUM(P350:P358)</f>
        <v>0</v>
      </c>
      <c r="Q360" s="141">
        <f>SUM(Q350:Q358)</f>
        <v>0</v>
      </c>
    </row>
    <row r="361" spans="1:17" x14ac:dyDescent="0.35">
      <c r="A361" s="75"/>
      <c r="B361" s="75"/>
      <c r="E361" s="104"/>
      <c r="F361" s="75"/>
      <c r="G361" s="152"/>
      <c r="H361" s="105"/>
      <c r="I361" s="109"/>
      <c r="J361" s="107"/>
      <c r="K361" s="109"/>
      <c r="L361" s="249"/>
      <c r="M361" s="249"/>
      <c r="N361" s="249"/>
      <c r="O361" s="249"/>
      <c r="P361" s="249"/>
      <c r="Q361" s="249"/>
    </row>
    <row r="362" spans="1:17" ht="13.15" x14ac:dyDescent="0.4">
      <c r="A362" s="84" t="s">
        <v>471</v>
      </c>
      <c r="B362" s="84"/>
      <c r="C362" s="70"/>
      <c r="D362" s="70"/>
      <c r="E362" s="94"/>
      <c r="F362" s="80"/>
      <c r="G362" s="154"/>
      <c r="H362" s="80"/>
      <c r="I362" s="80"/>
      <c r="J362" s="80"/>
      <c r="K362" s="80"/>
      <c r="L362" s="80"/>
    </row>
    <row r="363" spans="1:17" x14ac:dyDescent="0.35">
      <c r="A363" s="81"/>
      <c r="B363" s="81">
        <v>2</v>
      </c>
      <c r="C363" s="83">
        <v>1</v>
      </c>
      <c r="D363" s="83" t="s">
        <v>327</v>
      </c>
      <c r="E363" s="99" t="s">
        <v>398</v>
      </c>
      <c r="F363" s="81" t="s">
        <v>409</v>
      </c>
      <c r="G363" s="143">
        <f>VLOOKUP(F363,Volumenes!$D$19:$G$346,4,FALSE)</f>
        <v>0.91335655648699143</v>
      </c>
      <c r="H363" s="97"/>
      <c r="I363" s="98">
        <f>8/60</f>
        <v>0.13333333333333333</v>
      </c>
      <c r="J363" s="110">
        <f>+I363*(1+Tiempos!$C$17)</f>
        <v>0.14033333333333334</v>
      </c>
      <c r="K363" s="98">
        <f>+J363*G363</f>
        <v>0.12817437009367447</v>
      </c>
      <c r="L363" s="98">
        <f>+K363/Tiempos!$B$11</f>
        <v>2.7863993498624886E-4</v>
      </c>
      <c r="M363" s="261">
        <f>+K363/Tiempos!$B$12</f>
        <v>1.3931996749312443E-4</v>
      </c>
      <c r="N363" s="238"/>
      <c r="O363" s="238"/>
      <c r="P363" s="238"/>
      <c r="Q363" s="238"/>
    </row>
    <row r="364" spans="1:17" x14ac:dyDescent="0.35">
      <c r="A364" s="81"/>
      <c r="B364" s="81">
        <v>2</v>
      </c>
      <c r="C364" s="83">
        <v>1</v>
      </c>
      <c r="D364" s="83" t="s">
        <v>327</v>
      </c>
      <c r="E364" s="99" t="s">
        <v>469</v>
      </c>
      <c r="F364" s="81" t="str">
        <f t="shared" ref="F364:F372" si="51">+F363</f>
        <v>CAJ_DOB_80</v>
      </c>
      <c r="G364" s="143">
        <f>VLOOKUP(F364,Volumenes!$D$19:$G$346,4,FALSE)</f>
        <v>0.91335655648699143</v>
      </c>
      <c r="H364" s="97"/>
      <c r="I364" s="98">
        <f>25/60</f>
        <v>0.41666666666666669</v>
      </c>
      <c r="J364" s="110">
        <f>+I364*(1+Tiempos!$C$17)</f>
        <v>0.43854166666666666</v>
      </c>
      <c r="K364" s="98">
        <f>+J364*G364</f>
        <v>0.40054490654273267</v>
      </c>
      <c r="L364" s="98">
        <f>+K364/Tiempos!$B$11</f>
        <v>8.7074979683202753E-4</v>
      </c>
      <c r="M364" s="261">
        <f>+K364/Tiempos!$B$12</f>
        <v>4.3537489841601377E-4</v>
      </c>
      <c r="N364" s="238"/>
      <c r="O364" s="238"/>
      <c r="P364" s="238"/>
      <c r="Q364" s="238"/>
    </row>
    <row r="365" spans="1:17" x14ac:dyDescent="0.35">
      <c r="A365" s="92"/>
      <c r="B365" s="92">
        <v>2</v>
      </c>
      <c r="C365" s="100">
        <v>1</v>
      </c>
      <c r="D365" s="100" t="s">
        <v>327</v>
      </c>
      <c r="E365" s="101" t="s">
        <v>393</v>
      </c>
      <c r="F365" s="92" t="str">
        <f t="shared" si="51"/>
        <v>CAJ_DOB_80</v>
      </c>
      <c r="G365" s="144">
        <f>VLOOKUP(F365,Volumenes!$D$19:$G$346,4,FALSE)</f>
        <v>0.91335655648699143</v>
      </c>
      <c r="H365" s="102">
        <v>20</v>
      </c>
      <c r="I365" s="103">
        <f>+(H365/Tiempos!$B$29)/60</f>
        <v>0.17094017094017094</v>
      </c>
      <c r="J365" s="111">
        <f>+I365*(1+Tiempos!$C$17)</f>
        <v>0.17991452991452991</v>
      </c>
      <c r="K365" s="103">
        <f>+J365*G365</f>
        <v>0.16432611550471085</v>
      </c>
      <c r="L365" s="103">
        <f>+K365/Tiempos!$B$11</f>
        <v>3.5723068587980618E-4</v>
      </c>
      <c r="M365" s="262">
        <f>+K365/Tiempos!$B$12</f>
        <v>1.7861534293990309E-4</v>
      </c>
      <c r="N365" s="243"/>
      <c r="O365" s="243"/>
      <c r="P365" s="243"/>
      <c r="Q365" s="243"/>
    </row>
    <row r="366" spans="1:17" x14ac:dyDescent="0.35">
      <c r="A366" s="81"/>
      <c r="B366" s="81">
        <v>2</v>
      </c>
      <c r="C366" s="83">
        <v>1</v>
      </c>
      <c r="D366" s="83" t="s">
        <v>327</v>
      </c>
      <c r="E366" s="99" t="s">
        <v>470</v>
      </c>
      <c r="F366" s="81" t="str">
        <f t="shared" si="51"/>
        <v>CAJ_DOB_80</v>
      </c>
      <c r="G366" s="143">
        <f>VLOOKUP(F366,Volumenes!$D$19:$G$346,4,FALSE)</f>
        <v>0.91335655648699143</v>
      </c>
      <c r="H366" s="97"/>
      <c r="I366" s="98">
        <f>15/60</f>
        <v>0.25</v>
      </c>
      <c r="J366" s="110">
        <f>+I366*(1+Tiempos!$C$17)</f>
        <v>0.263125</v>
      </c>
      <c r="K366" s="98">
        <f t="shared" ref="K366:K368" si="52">+J366*G366</f>
        <v>0.24032694392563961</v>
      </c>
      <c r="L366" s="98">
        <f>+K366/Tiempos!$B$11</f>
        <v>5.2244987809921652E-4</v>
      </c>
      <c r="M366" s="261">
        <f>+K366/Tiempos!$B$12</f>
        <v>2.6122493904960826E-4</v>
      </c>
      <c r="N366" s="238"/>
      <c r="O366" s="238"/>
      <c r="P366" s="238"/>
      <c r="Q366" s="238"/>
    </row>
    <row r="367" spans="1:17" x14ac:dyDescent="0.35">
      <c r="A367" s="81"/>
      <c r="B367" s="81">
        <v>2</v>
      </c>
      <c r="C367" s="83">
        <v>1</v>
      </c>
      <c r="D367" s="83" t="s">
        <v>327</v>
      </c>
      <c r="E367" s="99" t="s">
        <v>399</v>
      </c>
      <c r="F367" s="81" t="str">
        <f t="shared" si="51"/>
        <v>CAJ_DOB_80</v>
      </c>
      <c r="G367" s="143">
        <f>VLOOKUP(F367,Volumenes!$D$19:$G$346,4,FALSE)</f>
        <v>0.91335655648699143</v>
      </c>
      <c r="H367" s="97"/>
      <c r="I367" s="98">
        <f>15/60</f>
        <v>0.25</v>
      </c>
      <c r="J367" s="110">
        <f>+I367*(1+Tiempos!$C$17)</f>
        <v>0.263125</v>
      </c>
      <c r="K367" s="98">
        <f t="shared" si="52"/>
        <v>0.24032694392563961</v>
      </c>
      <c r="L367" s="98">
        <f>+K367/Tiempos!$B$11</f>
        <v>5.2244987809921652E-4</v>
      </c>
      <c r="M367" s="261">
        <f>+K367/Tiempos!$B$12</f>
        <v>2.6122493904960826E-4</v>
      </c>
      <c r="N367" s="238"/>
      <c r="O367" s="238"/>
      <c r="P367" s="238"/>
      <c r="Q367" s="238"/>
    </row>
    <row r="368" spans="1:17" x14ac:dyDescent="0.35">
      <c r="A368" s="81"/>
      <c r="B368" s="81">
        <v>2</v>
      </c>
      <c r="C368" s="83">
        <v>1</v>
      </c>
      <c r="D368" s="83" t="s">
        <v>327</v>
      </c>
      <c r="E368" s="99" t="s">
        <v>394</v>
      </c>
      <c r="F368" s="81" t="str">
        <f t="shared" si="51"/>
        <v>CAJ_DOB_80</v>
      </c>
      <c r="G368" s="143">
        <f>VLOOKUP(F368,Volumenes!$D$19:$G$346,4,FALSE)</f>
        <v>0.91335655648699143</v>
      </c>
      <c r="H368" s="97"/>
      <c r="I368" s="98">
        <f>18/60</f>
        <v>0.3</v>
      </c>
      <c r="J368" s="110">
        <f>+I368*(1+Tiempos!$C$17)</f>
        <v>0.31574999999999998</v>
      </c>
      <c r="K368" s="98">
        <f t="shared" si="52"/>
        <v>0.28839233271076753</v>
      </c>
      <c r="L368" s="98">
        <f>+K368/Tiempos!$B$11</f>
        <v>6.2693985371905982E-4</v>
      </c>
      <c r="M368" s="261">
        <f>+K368/Tiempos!$B$12</f>
        <v>3.1346992685952991E-4</v>
      </c>
      <c r="N368" s="238"/>
      <c r="O368" s="238"/>
      <c r="P368" s="238"/>
      <c r="Q368" s="238"/>
    </row>
    <row r="369" spans="1:17" x14ac:dyDescent="0.35">
      <c r="A369" s="81"/>
      <c r="B369" s="81">
        <v>2</v>
      </c>
      <c r="C369" s="83">
        <v>1</v>
      </c>
      <c r="D369" s="83" t="s">
        <v>327</v>
      </c>
      <c r="E369" s="99" t="s">
        <v>395</v>
      </c>
      <c r="F369" s="81" t="str">
        <f t="shared" si="51"/>
        <v>CAJ_DOB_80</v>
      </c>
      <c r="G369" s="143">
        <f>VLOOKUP(F369,Volumenes!$D$19:$G$346,4,FALSE)</f>
        <v>0.91335655648699143</v>
      </c>
      <c r="H369" s="97"/>
      <c r="I369" s="98">
        <f>8/60</f>
        <v>0.13333333333333333</v>
      </c>
      <c r="J369" s="110">
        <f>+I369*(1+Tiempos!$C$17)</f>
        <v>0.14033333333333334</v>
      </c>
      <c r="K369" s="98">
        <f>+J369*G369</f>
        <v>0.12817437009367447</v>
      </c>
      <c r="L369" s="98">
        <f>+K369/Tiempos!$B$11</f>
        <v>2.7863993498624886E-4</v>
      </c>
      <c r="M369" s="261">
        <f>+K369/Tiempos!$B$12</f>
        <v>1.3931996749312443E-4</v>
      </c>
      <c r="N369" s="238"/>
      <c r="O369" s="238"/>
      <c r="P369" s="238"/>
      <c r="Q369" s="238"/>
    </row>
    <row r="370" spans="1:17" x14ac:dyDescent="0.35">
      <c r="A370" s="92"/>
      <c r="B370" s="92">
        <v>2</v>
      </c>
      <c r="C370" s="100">
        <v>1</v>
      </c>
      <c r="D370" s="100" t="s">
        <v>327</v>
      </c>
      <c r="E370" s="101" t="s">
        <v>396</v>
      </c>
      <c r="F370" s="92" t="str">
        <f t="shared" si="51"/>
        <v>CAJ_DOB_80</v>
      </c>
      <c r="G370" s="144">
        <f>VLOOKUP(F370,Volumenes!$D$19:$G$346,4,FALSE)</f>
        <v>0.91335655648699143</v>
      </c>
      <c r="H370" s="102">
        <v>20</v>
      </c>
      <c r="I370" s="103">
        <f>+(H370/Tiempos!$B$29)/60</f>
        <v>0.17094017094017094</v>
      </c>
      <c r="J370" s="111">
        <f>+I370*(1+Tiempos!$C$17)</f>
        <v>0.17991452991452991</v>
      </c>
      <c r="K370" s="103">
        <f>+J370*G370</f>
        <v>0.16432611550471085</v>
      </c>
      <c r="L370" s="103">
        <f>+K370/Tiempos!$B$11</f>
        <v>3.5723068587980618E-4</v>
      </c>
      <c r="M370" s="262">
        <f>+K370/Tiempos!$B$12</f>
        <v>1.7861534293990309E-4</v>
      </c>
      <c r="N370" s="243"/>
      <c r="O370" s="243"/>
      <c r="P370" s="243"/>
      <c r="Q370" s="243"/>
    </row>
    <row r="371" spans="1:17" x14ac:dyDescent="0.35">
      <c r="A371" s="81"/>
      <c r="B371" s="81">
        <v>2</v>
      </c>
      <c r="C371" s="83">
        <v>1</v>
      </c>
      <c r="D371" s="83" t="s">
        <v>327</v>
      </c>
      <c r="E371" s="99" t="s">
        <v>400</v>
      </c>
      <c r="F371" s="81" t="str">
        <f t="shared" si="51"/>
        <v>CAJ_DOB_80</v>
      </c>
      <c r="G371" s="143">
        <f>VLOOKUP(F371,Volumenes!$D$19:$G$346,4,FALSE)</f>
        <v>0.91335655648699143</v>
      </c>
      <c r="H371" s="97"/>
      <c r="I371" s="98">
        <f>15/60</f>
        <v>0.25</v>
      </c>
      <c r="J371" s="110">
        <f>+I371*(1+Tiempos!$C$17)</f>
        <v>0.263125</v>
      </c>
      <c r="K371" s="98">
        <f>+J371*G371</f>
        <v>0.24032694392563961</v>
      </c>
      <c r="L371" s="271">
        <f>+K371/Tiempos!$B$11</f>
        <v>5.2244987809921652E-4</v>
      </c>
      <c r="M371" s="261">
        <f>+K371/Tiempos!$B$12</f>
        <v>2.6122493904960826E-4</v>
      </c>
      <c r="N371" s="246"/>
      <c r="O371" s="246"/>
      <c r="P371" s="246"/>
      <c r="Q371" s="246"/>
    </row>
    <row r="372" spans="1:17" x14ac:dyDescent="0.35">
      <c r="A372" s="92"/>
      <c r="B372" s="92">
        <v>2</v>
      </c>
      <c r="C372" s="100">
        <v>1</v>
      </c>
      <c r="D372" s="100" t="s">
        <v>327</v>
      </c>
      <c r="E372" s="101" t="s">
        <v>397</v>
      </c>
      <c r="F372" s="92" t="str">
        <f t="shared" si="51"/>
        <v>CAJ_DOB_80</v>
      </c>
      <c r="G372" s="144">
        <f>VLOOKUP(F372,Volumenes!$D$19:$G$346,4,FALSE)</f>
        <v>0.91335655648699143</v>
      </c>
      <c r="H372" s="102">
        <v>15</v>
      </c>
      <c r="I372" s="103">
        <f>+(H372/Tiempos!$B$29)/60</f>
        <v>0.12820512820512822</v>
      </c>
      <c r="J372" s="111">
        <f>+I372*(1+Tiempos!$C$17)</f>
        <v>0.13493589743589746</v>
      </c>
      <c r="K372" s="103">
        <f>+J372*G372</f>
        <v>0.12324458662853316</v>
      </c>
      <c r="L372" s="103">
        <f>+K372/Tiempos!$B$11</f>
        <v>2.679230144098547E-4</v>
      </c>
      <c r="M372" s="262">
        <f>+K372/Tiempos!$B$12</f>
        <v>1.3396150720492735E-4</v>
      </c>
      <c r="N372" s="243"/>
      <c r="O372" s="243"/>
      <c r="P372" s="243"/>
      <c r="Q372" s="243"/>
    </row>
    <row r="373" spans="1:17" x14ac:dyDescent="0.35">
      <c r="A373" s="75"/>
      <c r="B373" s="75"/>
      <c r="E373" s="104"/>
      <c r="F373" s="75"/>
      <c r="G373" s="105"/>
      <c r="H373" s="105"/>
      <c r="I373" s="109"/>
      <c r="J373" s="107"/>
      <c r="K373" s="109"/>
      <c r="L373" s="98">
        <f>SUM(L363:L371)</f>
        <v>4.3367805265808468E-3</v>
      </c>
      <c r="M373" s="141">
        <f>SUM(M363:M371)</f>
        <v>2.1683902632904234E-3</v>
      </c>
      <c r="N373" s="141">
        <f>SUM(N363:N371)</f>
        <v>0</v>
      </c>
      <c r="O373" s="141"/>
      <c r="P373" s="141">
        <f>SUM(P363:P371)</f>
        <v>0</v>
      </c>
      <c r="Q373" s="141">
        <f>SUM(Q363:Q371)</f>
        <v>0</v>
      </c>
    </row>
    <row r="374" spans="1:17" x14ac:dyDescent="0.35">
      <c r="A374" s="75"/>
      <c r="B374" s="75"/>
      <c r="E374" s="104"/>
      <c r="F374" s="75"/>
      <c r="G374" s="105"/>
      <c r="H374" s="105"/>
      <c r="I374" s="109"/>
      <c r="J374" s="107"/>
      <c r="K374" s="109"/>
      <c r="L374" s="249"/>
    </row>
    <row r="375" spans="1:17" ht="13.15" x14ac:dyDescent="0.4">
      <c r="A375" s="84" t="s">
        <v>459</v>
      </c>
      <c r="B375" s="84"/>
      <c r="C375" s="70"/>
      <c r="D375" s="70"/>
      <c r="E375" s="94"/>
      <c r="F375" s="80"/>
      <c r="G375" s="154"/>
      <c r="H375" s="80"/>
      <c r="I375" s="80"/>
      <c r="J375" s="80"/>
      <c r="K375" s="168"/>
      <c r="L375" s="80"/>
    </row>
    <row r="376" spans="1:17" ht="13.15" x14ac:dyDescent="0.4">
      <c r="A376" s="294"/>
      <c r="B376" s="97">
        <v>2</v>
      </c>
      <c r="C376" s="81">
        <v>1</v>
      </c>
      <c r="D376" s="81" t="s">
        <v>69</v>
      </c>
      <c r="E376" s="303" t="s">
        <v>460</v>
      </c>
      <c r="F376" s="96" t="str">
        <f>+Volumenes!D36</f>
        <v>CHA_SANT_2D</v>
      </c>
      <c r="G376" s="143">
        <f>VLOOKUP(F376,Volumenes!$D$19:$G$346,4,FALSE)</f>
        <v>114.16956956087392</v>
      </c>
      <c r="H376" s="304"/>
      <c r="I376" s="305">
        <f>6/60</f>
        <v>0.1</v>
      </c>
      <c r="J376" s="110">
        <f>+I376*(1+Tiempos!$C$17)</f>
        <v>0.10525000000000001</v>
      </c>
      <c r="K376" s="123">
        <f>+J376*G376</f>
        <v>12.016347196281982</v>
      </c>
      <c r="L376" s="98">
        <f>+K376/Tiempos!$B$11</f>
        <v>2.6122493904960832E-2</v>
      </c>
      <c r="M376" s="238"/>
      <c r="N376" s="238"/>
      <c r="O376" s="261">
        <f>+K376/Tiempos!$B$12</f>
        <v>1.3061246952480416E-2</v>
      </c>
      <c r="P376" s="238"/>
      <c r="Q376" s="238"/>
    </row>
    <row r="377" spans="1:17" x14ac:dyDescent="0.35">
      <c r="A377" s="81"/>
      <c r="B377" s="81">
        <v>2</v>
      </c>
      <c r="C377" s="83">
        <v>1</v>
      </c>
      <c r="D377" s="83" t="s">
        <v>69</v>
      </c>
      <c r="E377" s="99" t="s">
        <v>430</v>
      </c>
      <c r="F377" s="81" t="str">
        <f>+Volumenes!D37</f>
        <v>CHA_SANT_2D_AUT</v>
      </c>
      <c r="G377" s="143">
        <f>VLOOKUP(F377,Volumenes!$D$19:$G$346,4,FALSE)</f>
        <v>97.044134126742833</v>
      </c>
      <c r="H377" s="97"/>
      <c r="I377" s="98">
        <f>8/60</f>
        <v>0.13333333333333333</v>
      </c>
      <c r="J377" s="110">
        <f>+I377*(1+Tiempos!$C$17)</f>
        <v>0.14033333333333334</v>
      </c>
      <c r="K377" s="123">
        <f>+J377*G377</f>
        <v>13.618526822452912</v>
      </c>
      <c r="L377" s="98">
        <f>+K377/Tiempos!$B$11</f>
        <v>2.960549309228894E-2</v>
      </c>
      <c r="M377" s="261"/>
      <c r="N377" s="238"/>
      <c r="O377" s="261">
        <f>+K377/Tiempos!$B$12</f>
        <v>1.480274654614447E-2</v>
      </c>
      <c r="P377" s="238"/>
      <c r="Q377" s="238"/>
    </row>
    <row r="378" spans="1:17" x14ac:dyDescent="0.35">
      <c r="A378" s="81"/>
      <c r="B378" s="81">
        <v>2</v>
      </c>
      <c r="C378" s="83">
        <v>1</v>
      </c>
      <c r="D378" s="83" t="s">
        <v>69</v>
      </c>
      <c r="E378" s="99" t="s">
        <v>431</v>
      </c>
      <c r="F378" s="81" t="str">
        <f>+F377</f>
        <v>CHA_SANT_2D_AUT</v>
      </c>
      <c r="G378" s="143">
        <f>VLOOKUP(F378,Volumenes!$D$19:$G$346,4,FALSE)</f>
        <v>97.044134126742833</v>
      </c>
      <c r="H378" s="97"/>
      <c r="I378" s="98">
        <f>12/60</f>
        <v>0.2</v>
      </c>
      <c r="J378" s="110">
        <f>+I378*(1+Tiempos!$C$17)</f>
        <v>0.21050000000000002</v>
      </c>
      <c r="K378" s="123">
        <f>+J378*G378</f>
        <v>20.427790233679367</v>
      </c>
      <c r="L378" s="98">
        <f>+K378/Tiempos!$B$11</f>
        <v>4.4408239638433405E-2</v>
      </c>
      <c r="M378" s="261"/>
      <c r="N378" s="238"/>
      <c r="O378" s="261">
        <f>+K378/Tiempos!$B$12</f>
        <v>2.2204119819216703E-2</v>
      </c>
      <c r="P378" s="238"/>
      <c r="Q378" s="238"/>
    </row>
    <row r="379" spans="1:17" x14ac:dyDescent="0.35">
      <c r="A379" s="81"/>
      <c r="B379" s="81">
        <v>2</v>
      </c>
      <c r="C379" s="83">
        <v>1</v>
      </c>
      <c r="D379" s="83" t="s">
        <v>69</v>
      </c>
      <c r="E379" s="99" t="s">
        <v>256</v>
      </c>
      <c r="F379" s="81" t="str">
        <f>+F378</f>
        <v>CHA_SANT_2D_AUT</v>
      </c>
      <c r="G379" s="143">
        <f>VLOOKUP(F379,Volumenes!$D$19:$G$346,4,FALSE)</f>
        <v>97.044134126742833</v>
      </c>
      <c r="H379" s="97"/>
      <c r="I379" s="98">
        <f>20/60</f>
        <v>0.33333333333333331</v>
      </c>
      <c r="J379" s="110">
        <f>+I379*(1+Tiempos!$C$17)</f>
        <v>0.35083333333333333</v>
      </c>
      <c r="K379" s="123">
        <f>+J379*G379</f>
        <v>34.046317056132274</v>
      </c>
      <c r="L379" s="98">
        <f>+K379/Tiempos!$B$11</f>
        <v>7.4013732730722329E-2</v>
      </c>
      <c r="M379" s="261"/>
      <c r="N379" s="238"/>
      <c r="O379" s="261">
        <f>+K379/Tiempos!$B$12</f>
        <v>3.7006866365361164E-2</v>
      </c>
      <c r="P379" s="238"/>
      <c r="Q379" s="238"/>
    </row>
    <row r="380" spans="1:17" x14ac:dyDescent="0.35">
      <c r="A380" s="92"/>
      <c r="B380" s="92">
        <v>2</v>
      </c>
      <c r="C380" s="100">
        <v>1</v>
      </c>
      <c r="D380" s="100" t="s">
        <v>69</v>
      </c>
      <c r="E380" s="101" t="s">
        <v>178</v>
      </c>
      <c r="F380" s="92" t="str">
        <f>+F379</f>
        <v>CHA_SANT_2D_AUT</v>
      </c>
      <c r="G380" s="144">
        <f>VLOOKUP(F380,Volumenes!$D$19:$G$346,4,FALSE)</f>
        <v>97.044134126742833</v>
      </c>
      <c r="H380" s="102">
        <f>+Tiempos!E59</f>
        <v>25</v>
      </c>
      <c r="I380" s="103">
        <f>+Tiempos!F59</f>
        <v>0.21367521367521369</v>
      </c>
      <c r="J380" s="111">
        <f>+I380*(1+Tiempos!$C$17)</f>
        <v>0.2248931623931624</v>
      </c>
      <c r="K380" s="146">
        <f t="shared" ref="K380:K387" si="53">+J380*G380</f>
        <v>21.82456221546941</v>
      </c>
      <c r="L380" s="103">
        <f>+K380/Tiempos!$B$11</f>
        <v>4.744470046841176E-2</v>
      </c>
      <c r="M380" s="262"/>
      <c r="N380" s="243"/>
      <c r="O380" s="262">
        <f>+K380/Tiempos!$B$12</f>
        <v>2.372235023420588E-2</v>
      </c>
      <c r="P380" s="243"/>
      <c r="Q380" s="243"/>
    </row>
    <row r="381" spans="1:17" x14ac:dyDescent="0.35">
      <c r="A381" s="81"/>
      <c r="B381" s="81">
        <v>2</v>
      </c>
      <c r="C381" s="83">
        <v>1</v>
      </c>
      <c r="D381" s="83" t="s">
        <v>69</v>
      </c>
      <c r="E381" s="99" t="s">
        <v>257</v>
      </c>
      <c r="F381" s="81" t="str">
        <f>+F379</f>
        <v>CHA_SANT_2D_AUT</v>
      </c>
      <c r="G381" s="143">
        <f>VLOOKUP(F381,Volumenes!$D$19:$G$346,4,FALSE)</f>
        <v>97.044134126742833</v>
      </c>
      <c r="H381" s="97"/>
      <c r="I381" s="98">
        <f>20/60</f>
        <v>0.33333333333333331</v>
      </c>
      <c r="J381" s="110">
        <f>+I381*(1+Tiempos!$C$17)</f>
        <v>0.35083333333333333</v>
      </c>
      <c r="K381" s="123">
        <f t="shared" si="53"/>
        <v>34.046317056132274</v>
      </c>
      <c r="L381" s="98">
        <f>+K381/Tiempos!$B$11</f>
        <v>7.4013732730722329E-2</v>
      </c>
      <c r="M381" s="261"/>
      <c r="N381" s="238"/>
      <c r="O381" s="261">
        <f>+K381/Tiempos!$B$12</f>
        <v>3.7006866365361164E-2</v>
      </c>
      <c r="P381" s="238"/>
      <c r="Q381" s="238"/>
    </row>
    <row r="382" spans="1:17" x14ac:dyDescent="0.35">
      <c r="A382" s="81"/>
      <c r="B382" s="81">
        <v>2</v>
      </c>
      <c r="C382" s="83">
        <v>1</v>
      </c>
      <c r="D382" s="83" t="s">
        <v>69</v>
      </c>
      <c r="E382" s="99" t="s">
        <v>429</v>
      </c>
      <c r="F382" s="81" t="str">
        <f>+F381</f>
        <v>CHA_SANT_2D_AUT</v>
      </c>
      <c r="G382" s="143">
        <f>VLOOKUP(F382,Volumenes!$D$19:$G$346,4,FALSE)</f>
        <v>97.044134126742833</v>
      </c>
      <c r="H382" s="97"/>
      <c r="I382" s="98">
        <f>7/60</f>
        <v>0.11666666666666667</v>
      </c>
      <c r="J382" s="110">
        <f>+I382*(1+Tiempos!$C$17)</f>
        <v>0.12279166666666667</v>
      </c>
      <c r="K382" s="123">
        <f t="shared" si="53"/>
        <v>11.916210969646297</v>
      </c>
      <c r="L382" s="98">
        <f>+K382/Tiempos!$B$11</f>
        <v>2.590480645575282E-2</v>
      </c>
      <c r="M382" s="261"/>
      <c r="N382" s="246"/>
      <c r="O382" s="261">
        <f>+K382/Tiempos!$B$12</f>
        <v>1.295240322787641E-2</v>
      </c>
      <c r="P382" s="246"/>
      <c r="Q382" s="246"/>
    </row>
    <row r="383" spans="1:17" x14ac:dyDescent="0.35">
      <c r="A383" s="81"/>
      <c r="B383" s="81">
        <v>2</v>
      </c>
      <c r="C383" s="83">
        <v>1</v>
      </c>
      <c r="D383" s="83" t="s">
        <v>69</v>
      </c>
      <c r="E383" s="99" t="s">
        <v>432</v>
      </c>
      <c r="F383" s="81" t="str">
        <f>+F382</f>
        <v>CHA_SANT_2D_AUT</v>
      </c>
      <c r="G383" s="143">
        <f>VLOOKUP(F383,Volumenes!$D$19:$G$346,4,FALSE)</f>
        <v>97.044134126742833</v>
      </c>
      <c r="H383" s="97"/>
      <c r="I383" s="98">
        <f>15/60</f>
        <v>0.25</v>
      </c>
      <c r="J383" s="110">
        <f>+I383*(1+Tiempos!$C$17)</f>
        <v>0.263125</v>
      </c>
      <c r="K383" s="123">
        <f t="shared" si="53"/>
        <v>25.534737792099207</v>
      </c>
      <c r="L383" s="98">
        <f>+K383/Tiempos!$B$11</f>
        <v>5.5510299548041757E-2</v>
      </c>
      <c r="M383" s="261"/>
      <c r="N383" s="246"/>
      <c r="O383" s="261">
        <f>+K383/Tiempos!$B$12</f>
        <v>2.7755149774020878E-2</v>
      </c>
      <c r="P383" s="246"/>
      <c r="Q383" s="246"/>
    </row>
    <row r="384" spans="1:17" x14ac:dyDescent="0.35">
      <c r="A384" s="81"/>
      <c r="B384" s="81">
        <v>2</v>
      </c>
      <c r="C384" s="83">
        <v>1</v>
      </c>
      <c r="D384" s="83" t="s">
        <v>69</v>
      </c>
      <c r="E384" s="99" t="s">
        <v>433</v>
      </c>
      <c r="F384" s="81" t="str">
        <f>+F383</f>
        <v>CHA_SANT_2D_AUT</v>
      </c>
      <c r="G384" s="143">
        <f>VLOOKUP(F384,Volumenes!$D$19:$G$346,4,FALSE)</f>
        <v>97.044134126742833</v>
      </c>
      <c r="H384" s="97"/>
      <c r="I384" s="98">
        <f>18/60</f>
        <v>0.3</v>
      </c>
      <c r="J384" s="110">
        <f>+I384*(1+Tiempos!$C$17)</f>
        <v>0.31574999999999998</v>
      </c>
      <c r="K384" s="123">
        <f t="shared" si="53"/>
        <v>30.641685350519047</v>
      </c>
      <c r="L384" s="98">
        <f>+K384/Tiempos!$B$11</f>
        <v>6.6612359457650108E-2</v>
      </c>
      <c r="M384" s="261"/>
      <c r="N384" s="246"/>
      <c r="O384" s="261">
        <f>+K384/Tiempos!$B$12</f>
        <v>3.3306179728825054E-2</v>
      </c>
      <c r="P384" s="246"/>
      <c r="Q384" s="246"/>
    </row>
    <row r="385" spans="1:17" x14ac:dyDescent="0.35">
      <c r="A385" s="81"/>
      <c r="B385" s="81">
        <v>2</v>
      </c>
      <c r="C385" s="83">
        <v>1</v>
      </c>
      <c r="D385" s="83" t="s">
        <v>69</v>
      </c>
      <c r="E385" s="99" t="s">
        <v>434</v>
      </c>
      <c r="F385" s="81" t="str">
        <f>+F384</f>
        <v>CHA_SANT_2D_AUT</v>
      </c>
      <c r="G385" s="143">
        <f>VLOOKUP(F385,Volumenes!$D$19:$G$346,4,FALSE)</f>
        <v>97.044134126742833</v>
      </c>
      <c r="H385" s="97"/>
      <c r="I385" s="98">
        <f>20/60</f>
        <v>0.33333333333333331</v>
      </c>
      <c r="J385" s="110">
        <f>+I385*(1+Tiempos!$C$17)</f>
        <v>0.35083333333333333</v>
      </c>
      <c r="K385" s="123">
        <f t="shared" si="53"/>
        <v>34.046317056132274</v>
      </c>
      <c r="L385" s="98">
        <f>+K385/Tiempos!$B$11</f>
        <v>7.4013732730722329E-2</v>
      </c>
      <c r="M385" s="261"/>
      <c r="N385" s="246"/>
      <c r="O385" s="261">
        <f>+K385/Tiempos!$B$12</f>
        <v>3.7006866365361164E-2</v>
      </c>
      <c r="P385" s="246"/>
      <c r="Q385" s="246"/>
    </row>
    <row r="386" spans="1:17" x14ac:dyDescent="0.35">
      <c r="A386" s="92"/>
      <c r="B386" s="92">
        <v>2</v>
      </c>
      <c r="C386" s="100">
        <v>1</v>
      </c>
      <c r="D386" s="100" t="s">
        <v>69</v>
      </c>
      <c r="E386" s="101" t="s">
        <v>179</v>
      </c>
      <c r="F386" s="92" t="str">
        <f>+F385</f>
        <v>CHA_SANT_2D_AUT</v>
      </c>
      <c r="G386" s="144">
        <f>VLOOKUP(F386,Volumenes!$D$19:$G$346,4,FALSE)</f>
        <v>97.044134126742833</v>
      </c>
      <c r="H386" s="102">
        <f>+H380</f>
        <v>25</v>
      </c>
      <c r="I386" s="103">
        <f>+I380</f>
        <v>0.21367521367521369</v>
      </c>
      <c r="J386" s="111">
        <f>+I386*(1+Tiempos!$C$17)</f>
        <v>0.2248931623931624</v>
      </c>
      <c r="K386" s="146">
        <f t="shared" si="53"/>
        <v>21.82456221546941</v>
      </c>
      <c r="L386" s="103">
        <f>+K386/Tiempos!$B$11</f>
        <v>4.744470046841176E-2</v>
      </c>
      <c r="M386" s="262"/>
      <c r="N386" s="247"/>
      <c r="O386" s="262">
        <f>+K386/Tiempos!$B$12</f>
        <v>2.372235023420588E-2</v>
      </c>
      <c r="P386" s="247"/>
      <c r="Q386" s="247"/>
    </row>
    <row r="387" spans="1:17" x14ac:dyDescent="0.35">
      <c r="A387" s="81"/>
      <c r="B387" s="81">
        <v>2</v>
      </c>
      <c r="C387" s="83">
        <v>1</v>
      </c>
      <c r="D387" s="83" t="s">
        <v>69</v>
      </c>
      <c r="E387" s="99" t="s">
        <v>461</v>
      </c>
      <c r="F387" s="81" t="str">
        <f>+Volumenes!D39</f>
        <v>CHA_SANT_2D_EST</v>
      </c>
      <c r="G387" s="143">
        <f>VLOOKUP(F387,Volumenes!$D$19:$G$346,4,FALSE)</f>
        <v>17.125435434131088</v>
      </c>
      <c r="H387" s="97"/>
      <c r="I387" s="98">
        <f>5/60</f>
        <v>8.3333333333333329E-2</v>
      </c>
      <c r="J387" s="110">
        <f>+I387*(1+Tiempos!$C$17)</f>
        <v>8.7708333333333333E-2</v>
      </c>
      <c r="K387" s="123">
        <f t="shared" si="53"/>
        <v>1.5020433995352476</v>
      </c>
      <c r="L387" s="98">
        <f>+K387/Tiempos!$B$11</f>
        <v>3.2653117381201036E-3</v>
      </c>
      <c r="M387" s="261"/>
      <c r="N387" s="246"/>
      <c r="O387" s="261">
        <f>+K387/Tiempos!$B$12</f>
        <v>1.6326558690600518E-3</v>
      </c>
      <c r="P387" s="246"/>
      <c r="Q387" s="246"/>
    </row>
    <row r="388" spans="1:17" x14ac:dyDescent="0.35">
      <c r="A388" s="92"/>
      <c r="B388" s="92">
        <v>2</v>
      </c>
      <c r="C388" s="100">
        <v>1</v>
      </c>
      <c r="D388" s="100" t="s">
        <v>69</v>
      </c>
      <c r="E388" s="101" t="s">
        <v>462</v>
      </c>
      <c r="F388" s="92" t="str">
        <f>+F387</f>
        <v>CHA_SANT_2D_EST</v>
      </c>
      <c r="G388" s="144">
        <f>VLOOKUP(F388,Volumenes!$D$19:$G$346,4,FALSE)</f>
        <v>17.125435434131088</v>
      </c>
      <c r="H388" s="102">
        <f>VLOOKUP(E388,Tiempos!$B$42:$E$154,4)</f>
        <v>10</v>
      </c>
      <c r="I388" s="103">
        <f>VLOOKUP(F388,Tiempos!$D$42:$F$138,3)</f>
        <v>3.3967391304347827</v>
      </c>
      <c r="J388" s="111">
        <f>+I388*(1+Tiempos!$C$17)</f>
        <v>3.5750679347826089</v>
      </c>
      <c r="K388" s="146">
        <f>+J388*G388</f>
        <v>61.224595089751936</v>
      </c>
      <c r="L388" s="103">
        <f>+K388/Tiempos!$B$11</f>
        <v>0.13309694584728682</v>
      </c>
      <c r="M388" s="262"/>
      <c r="N388" s="247"/>
      <c r="O388" s="262">
        <f>+K388/Tiempos!$B$12</f>
        <v>6.6548472923643409E-2</v>
      </c>
      <c r="P388" s="247"/>
      <c r="Q388" s="247"/>
    </row>
    <row r="389" spans="1:17" x14ac:dyDescent="0.35">
      <c r="A389" s="81"/>
      <c r="B389" s="81">
        <v>2</v>
      </c>
      <c r="C389" s="83">
        <v>1</v>
      </c>
      <c r="D389" s="83" t="s">
        <v>69</v>
      </c>
      <c r="E389" s="99" t="s">
        <v>463</v>
      </c>
      <c r="F389" s="81" t="str">
        <f>+F388</f>
        <v>CHA_SANT_2D_EST</v>
      </c>
      <c r="G389" s="143">
        <f>VLOOKUP(F389,Volumenes!$D$19:$G$346,4,FALSE)</f>
        <v>17.125435434131088</v>
      </c>
      <c r="H389" s="97"/>
      <c r="I389" s="98">
        <f>35/60</f>
        <v>0.58333333333333337</v>
      </c>
      <c r="J389" s="110">
        <f>+I389*(1+Tiempos!$C$17)</f>
        <v>0.61395833333333338</v>
      </c>
      <c r="K389" s="123">
        <f t="shared" ref="K389:K395" si="54">+J389*G389</f>
        <v>10.514303796746733</v>
      </c>
      <c r="L389" s="98">
        <f>+K389/Tiempos!$B$11</f>
        <v>2.2857182166840722E-2</v>
      </c>
      <c r="M389" s="261"/>
      <c r="N389" s="246"/>
      <c r="O389" s="261">
        <f>+K389/Tiempos!$B$12</f>
        <v>1.1428591083420361E-2</v>
      </c>
      <c r="P389" s="246"/>
      <c r="Q389" s="246"/>
    </row>
    <row r="390" spans="1:17" x14ac:dyDescent="0.35">
      <c r="A390" s="92"/>
      <c r="B390" s="92">
        <v>2</v>
      </c>
      <c r="C390" s="100">
        <v>1</v>
      </c>
      <c r="D390" s="100" t="s">
        <v>69</v>
      </c>
      <c r="E390" s="101" t="s">
        <v>464</v>
      </c>
      <c r="F390" s="92" t="str">
        <f>+F389</f>
        <v>CHA_SANT_2D_EST</v>
      </c>
      <c r="G390" s="144">
        <f>VLOOKUP(F390,Volumenes!$D$19:$G$346,4,FALSE)</f>
        <v>17.125435434131088</v>
      </c>
      <c r="H390" s="102">
        <f>+H388</f>
        <v>10</v>
      </c>
      <c r="I390" s="103">
        <f>VLOOKUP(F390,Tiempos!$D$42:$F$138,3)</f>
        <v>3.3967391304347827</v>
      </c>
      <c r="J390" s="111">
        <f>+I390*(1+Tiempos!$C$17)</f>
        <v>3.5750679347826089</v>
      </c>
      <c r="K390" s="146">
        <f t="shared" si="54"/>
        <v>61.224595089751936</v>
      </c>
      <c r="L390" s="103">
        <f>+K390/Tiempos!$B$11</f>
        <v>0.13309694584728682</v>
      </c>
      <c r="M390" s="262"/>
      <c r="N390" s="247"/>
      <c r="O390" s="262">
        <f>+K390/Tiempos!$B$12</f>
        <v>6.6548472923643409E-2</v>
      </c>
      <c r="P390" s="247"/>
      <c r="Q390" s="247"/>
    </row>
    <row r="391" spans="1:17" x14ac:dyDescent="0.35">
      <c r="A391" s="81"/>
      <c r="B391" s="81">
        <v>2</v>
      </c>
      <c r="C391" s="83">
        <v>1</v>
      </c>
      <c r="D391" s="83" t="s">
        <v>69</v>
      </c>
      <c r="E391" s="99" t="s">
        <v>257</v>
      </c>
      <c r="F391" s="81" t="str">
        <f>+F390</f>
        <v>CHA_SANT_2D_EST</v>
      </c>
      <c r="G391" s="143">
        <f>VLOOKUP(F391,Volumenes!$D$19:$G$346,4,FALSE)</f>
        <v>17.125435434131088</v>
      </c>
      <c r="H391" s="97"/>
      <c r="I391" s="98">
        <f>20/60</f>
        <v>0.33333333333333331</v>
      </c>
      <c r="J391" s="110">
        <f>+I391*(1+Tiempos!$C$17)</f>
        <v>0.35083333333333333</v>
      </c>
      <c r="K391" s="123">
        <f t="shared" si="54"/>
        <v>6.0081735981409903</v>
      </c>
      <c r="L391" s="98">
        <f>+K391/Tiempos!$B$11</f>
        <v>1.3061246952480414E-2</v>
      </c>
      <c r="M391" s="261"/>
      <c r="N391" s="246"/>
      <c r="O391" s="261">
        <f>+K391/Tiempos!$B$12</f>
        <v>6.5306234762402071E-3</v>
      </c>
      <c r="P391" s="246"/>
      <c r="Q391" s="246"/>
    </row>
    <row r="392" spans="1:17" x14ac:dyDescent="0.35">
      <c r="A392" s="81"/>
      <c r="B392" s="81">
        <v>2</v>
      </c>
      <c r="C392" s="83">
        <v>1</v>
      </c>
      <c r="D392" s="83" t="s">
        <v>69</v>
      </c>
      <c r="E392" s="99" t="s">
        <v>465</v>
      </c>
      <c r="F392" s="81" t="str">
        <f t="shared" ref="F392:F395" si="55">+F391</f>
        <v>CHA_SANT_2D_EST</v>
      </c>
      <c r="G392" s="143">
        <f>VLOOKUP(F392,Volumenes!$D$19:$G$346,4,FALSE)</f>
        <v>17.125435434131088</v>
      </c>
      <c r="H392" s="97"/>
      <c r="I392" s="98">
        <f>20/60</f>
        <v>0.33333333333333331</v>
      </c>
      <c r="J392" s="110">
        <f>+I392*(1+Tiempos!$C$17)</f>
        <v>0.35083333333333333</v>
      </c>
      <c r="K392" s="123">
        <f t="shared" si="54"/>
        <v>6.0081735981409903</v>
      </c>
      <c r="L392" s="98">
        <f>+K392/Tiempos!$B$11</f>
        <v>1.3061246952480414E-2</v>
      </c>
      <c r="M392" s="261"/>
      <c r="N392" s="246"/>
      <c r="O392" s="261">
        <f>+K392/Tiempos!$B$12</f>
        <v>6.5306234762402071E-3</v>
      </c>
      <c r="P392" s="246"/>
      <c r="Q392" s="246"/>
    </row>
    <row r="393" spans="1:17" x14ac:dyDescent="0.35">
      <c r="A393" s="92"/>
      <c r="B393" s="92">
        <v>2</v>
      </c>
      <c r="C393" s="100">
        <v>1</v>
      </c>
      <c r="D393" s="100" t="s">
        <v>69</v>
      </c>
      <c r="E393" s="101" t="s">
        <v>466</v>
      </c>
      <c r="F393" s="92" t="str">
        <f t="shared" si="55"/>
        <v>CHA_SANT_2D_EST</v>
      </c>
      <c r="G393" s="144">
        <f>VLOOKUP(F393,Volumenes!$D$19:$G$346,4,FALSE)</f>
        <v>17.125435434131088</v>
      </c>
      <c r="H393" s="102">
        <f>+H390</f>
        <v>10</v>
      </c>
      <c r="I393" s="103">
        <f>VLOOKUP(F393,Tiempos!$D$42:$F$138,3)</f>
        <v>3.3967391304347827</v>
      </c>
      <c r="J393" s="111">
        <f>+I393*(1+Tiempos!$C$17)</f>
        <v>3.5750679347826089</v>
      </c>
      <c r="K393" s="146">
        <f t="shared" si="54"/>
        <v>61.224595089751936</v>
      </c>
      <c r="L393" s="103">
        <f>+K393/Tiempos!$B$11</f>
        <v>0.13309694584728682</v>
      </c>
      <c r="M393" s="262"/>
      <c r="N393" s="247"/>
      <c r="O393" s="262">
        <f>+K393/Tiempos!$B$12</f>
        <v>6.6548472923643409E-2</v>
      </c>
      <c r="P393" s="247"/>
      <c r="Q393" s="247"/>
    </row>
    <row r="394" spans="1:17" x14ac:dyDescent="0.35">
      <c r="A394" s="81"/>
      <c r="B394" s="81">
        <v>2</v>
      </c>
      <c r="C394" s="83">
        <v>1</v>
      </c>
      <c r="D394" s="83" t="s">
        <v>69</v>
      </c>
      <c r="E394" s="99" t="s">
        <v>467</v>
      </c>
      <c r="F394" s="81" t="str">
        <f t="shared" si="55"/>
        <v>CHA_SANT_2D_EST</v>
      </c>
      <c r="G394" s="143">
        <f>VLOOKUP(F394,Volumenes!$D$19:$G$346,4,FALSE)</f>
        <v>17.125435434131088</v>
      </c>
      <c r="H394" s="97"/>
      <c r="I394" s="98">
        <f>35/60</f>
        <v>0.58333333333333337</v>
      </c>
      <c r="J394" s="110">
        <f>+I394*(1+Tiempos!$C$17)</f>
        <v>0.61395833333333338</v>
      </c>
      <c r="K394" s="123">
        <f t="shared" si="54"/>
        <v>10.514303796746733</v>
      </c>
      <c r="L394" s="98">
        <f>+K394/Tiempos!$B$11</f>
        <v>2.2857182166840722E-2</v>
      </c>
      <c r="M394" s="261"/>
      <c r="N394" s="246"/>
      <c r="O394" s="261">
        <f>+K394/Tiempos!$B$12</f>
        <v>1.1428591083420361E-2</v>
      </c>
      <c r="P394" s="246"/>
      <c r="Q394" s="246"/>
    </row>
    <row r="395" spans="1:17" x14ac:dyDescent="0.35">
      <c r="A395" s="92"/>
      <c r="B395" s="92">
        <v>2</v>
      </c>
      <c r="C395" s="100">
        <v>1</v>
      </c>
      <c r="D395" s="100" t="s">
        <v>69</v>
      </c>
      <c r="E395" s="101" t="s">
        <v>468</v>
      </c>
      <c r="F395" s="92" t="str">
        <f t="shared" si="55"/>
        <v>CHA_SANT_2D_EST</v>
      </c>
      <c r="G395" s="144">
        <f>VLOOKUP(F395,Volumenes!$D$19:$G$346,4,FALSE)</f>
        <v>17.125435434131088</v>
      </c>
      <c r="H395" s="102">
        <f>+H393</f>
        <v>10</v>
      </c>
      <c r="I395" s="103">
        <f>VLOOKUP(F395,Tiempos!$D$42:$F$138,3)</f>
        <v>3.3967391304347827</v>
      </c>
      <c r="J395" s="111">
        <f>+I395*(1+Tiempos!$C$17)</f>
        <v>3.5750679347826089</v>
      </c>
      <c r="K395" s="146">
        <f t="shared" si="54"/>
        <v>61.224595089751936</v>
      </c>
      <c r="L395" s="103">
        <f>+K395/Tiempos!$B$11</f>
        <v>0.13309694584728682</v>
      </c>
      <c r="M395" s="262"/>
      <c r="N395" s="247"/>
      <c r="O395" s="262">
        <f>+K395/Tiempos!$B$12</f>
        <v>6.6548472923643409E-2</v>
      </c>
      <c r="P395" s="247"/>
      <c r="Q395" s="247"/>
    </row>
    <row r="396" spans="1:17" x14ac:dyDescent="0.35">
      <c r="A396" s="75"/>
      <c r="B396" s="75"/>
      <c r="E396" s="200"/>
      <c r="F396" s="75"/>
      <c r="G396" s="152"/>
      <c r="H396" s="105"/>
      <c r="I396" s="109"/>
      <c r="J396" s="107"/>
      <c r="K396" s="162"/>
      <c r="L396" s="98">
        <f>SUM(L376:L395)</f>
        <v>1.172584244592028</v>
      </c>
      <c r="M396" s="261"/>
      <c r="N396" s="246"/>
      <c r="O396" s="98">
        <f>SUM(O376:O395)</f>
        <v>0.58629212229601402</v>
      </c>
      <c r="P396" s="246"/>
      <c r="Q396" s="246"/>
    </row>
    <row r="397" spans="1:17" x14ac:dyDescent="0.35">
      <c r="A397" s="75"/>
      <c r="B397" s="75"/>
      <c r="E397" s="104"/>
      <c r="F397" s="75"/>
      <c r="G397" s="105"/>
      <c r="H397" s="105"/>
      <c r="I397" s="109"/>
      <c r="J397" s="107"/>
      <c r="K397" s="109"/>
      <c r="L397" s="249"/>
      <c r="M397" s="249"/>
      <c r="N397" s="249"/>
      <c r="O397" s="249"/>
      <c r="P397" s="249"/>
      <c r="Q397" s="249"/>
    </row>
    <row r="398" spans="1:17" ht="13.15" x14ac:dyDescent="0.4">
      <c r="A398" s="296" t="s">
        <v>713</v>
      </c>
      <c r="B398" s="213"/>
      <c r="E398" s="104"/>
      <c r="F398" s="75"/>
      <c r="G398" s="152"/>
      <c r="H398" s="105"/>
      <c r="I398" s="109"/>
      <c r="J398" s="107"/>
      <c r="K398" s="162"/>
      <c r="L398" s="109"/>
    </row>
    <row r="399" spans="1:17" x14ac:dyDescent="0.35">
      <c r="A399" s="81"/>
      <c r="B399" s="81">
        <v>2</v>
      </c>
      <c r="C399" s="83">
        <v>1</v>
      </c>
      <c r="D399" s="83" t="s">
        <v>69</v>
      </c>
      <c r="E399" s="99" t="s">
        <v>695</v>
      </c>
      <c r="F399" s="391" t="str">
        <f>+Volumenes!D197</f>
        <v>BUL_MAD_L1</v>
      </c>
      <c r="G399" s="143">
        <f>VLOOKUP(F399,Volumenes!$D$19:$G$346,4,FALSE)</f>
        <v>14.2</v>
      </c>
      <c r="H399" s="97"/>
      <c r="I399" s="98">
        <f>8/60</f>
        <v>0.13333333333333333</v>
      </c>
      <c r="J399" s="110">
        <f>+I399*(1+Tiempos!$C$17)</f>
        <v>0.14033333333333334</v>
      </c>
      <c r="K399" s="98">
        <f>+J399*G399</f>
        <v>1.9927333333333332</v>
      </c>
      <c r="L399" s="98">
        <f>+K399/Tiempos!$B$11</f>
        <v>4.332028985507246E-3</v>
      </c>
      <c r="M399" s="261">
        <f>+K399/Tiempos!$B$12</f>
        <v>2.166014492753623E-3</v>
      </c>
      <c r="N399" s="238"/>
      <c r="O399" s="238"/>
      <c r="P399" s="238"/>
      <c r="Q399" s="238"/>
    </row>
    <row r="400" spans="1:17" x14ac:dyDescent="0.35">
      <c r="A400" s="92"/>
      <c r="B400" s="92">
        <v>2</v>
      </c>
      <c r="C400" s="100">
        <v>1</v>
      </c>
      <c r="D400" s="100" t="s">
        <v>69</v>
      </c>
      <c r="E400" s="101" t="s">
        <v>707</v>
      </c>
      <c r="F400" s="393" t="str">
        <f t="shared" ref="F400:F405" si="56">+F399</f>
        <v>BUL_MAD_L1</v>
      </c>
      <c r="G400" s="144">
        <f>VLOOKUP(F400,Volumenes!$D$19:$G$346,4,FALSE)</f>
        <v>14.2</v>
      </c>
      <c r="H400" s="102">
        <f>VLOOKUP(F400,Tiempos!$D$42:$F$131,2,FALSE)</f>
        <v>405</v>
      </c>
      <c r="I400" s="103">
        <f>VLOOKUP(F400,Tiempos!$D$42:$F$117,3,FALSE)</f>
        <v>3.4615384615384617</v>
      </c>
      <c r="J400" s="111">
        <f>+I400*(1+Tiempos!$C$17)</f>
        <v>3.6432692307692309</v>
      </c>
      <c r="K400" s="146">
        <f t="shared" ref="K400:K405" si="57">+J400*G400</f>
        <v>51.734423076923079</v>
      </c>
      <c r="L400" s="103">
        <f>+K400/Tiempos!$B$11</f>
        <v>0.11246613712374583</v>
      </c>
      <c r="M400" s="262">
        <f>+K400/Tiempos!B12</f>
        <v>5.6233068561872913E-2</v>
      </c>
      <c r="N400" s="243"/>
      <c r="O400" s="243"/>
      <c r="P400" s="243"/>
      <c r="Q400" s="243"/>
    </row>
    <row r="401" spans="1:17" x14ac:dyDescent="0.35">
      <c r="A401" s="81"/>
      <c r="B401" s="81">
        <v>2</v>
      </c>
      <c r="C401" s="83">
        <v>1</v>
      </c>
      <c r="D401" s="83" t="s">
        <v>69</v>
      </c>
      <c r="E401" s="99" t="s">
        <v>708</v>
      </c>
      <c r="F401" s="391" t="str">
        <f t="shared" si="56"/>
        <v>BUL_MAD_L1</v>
      </c>
      <c r="G401" s="143">
        <f>VLOOKUP(F401,Volumenes!$D$19:$G$346,4,FALSE)</f>
        <v>14.2</v>
      </c>
      <c r="H401" s="97"/>
      <c r="I401" s="98">
        <f>15/60</f>
        <v>0.25</v>
      </c>
      <c r="J401" s="110">
        <f>+I401*(1+Tiempos!$C$17)</f>
        <v>0.263125</v>
      </c>
      <c r="K401" s="98">
        <f t="shared" si="57"/>
        <v>3.7363749999999998</v>
      </c>
      <c r="L401" s="98">
        <f>+K401/Tiempos!$B$11</f>
        <v>8.1225543478260862E-3</v>
      </c>
      <c r="M401" s="261">
        <f>+K401/Tiempos!$B$12</f>
        <v>4.0612771739130431E-3</v>
      </c>
      <c r="N401" s="238"/>
      <c r="O401" s="238"/>
      <c r="P401" s="238"/>
      <c r="Q401" s="238"/>
    </row>
    <row r="402" spans="1:17" x14ac:dyDescent="0.35">
      <c r="A402" s="81"/>
      <c r="B402" s="81">
        <v>2</v>
      </c>
      <c r="C402" s="83">
        <v>1</v>
      </c>
      <c r="D402" s="83" t="s">
        <v>69</v>
      </c>
      <c r="E402" s="99" t="s">
        <v>709</v>
      </c>
      <c r="F402" s="391" t="str">
        <f t="shared" si="56"/>
        <v>BUL_MAD_L1</v>
      </c>
      <c r="G402" s="143">
        <f>VLOOKUP(F402,Volumenes!$D$19:$G$346,4,FALSE)</f>
        <v>14.2</v>
      </c>
      <c r="H402" s="97"/>
      <c r="I402" s="98">
        <f>15/60</f>
        <v>0.25</v>
      </c>
      <c r="J402" s="110">
        <f>+I402*(1+Tiempos!$C$17)</f>
        <v>0.263125</v>
      </c>
      <c r="K402" s="98">
        <f t="shared" si="57"/>
        <v>3.7363749999999998</v>
      </c>
      <c r="L402" s="98">
        <f>+K402/Tiempos!$B$11</f>
        <v>8.1225543478260862E-3</v>
      </c>
      <c r="M402" s="261">
        <f>+K402/Tiempos!$B$12</f>
        <v>4.0612771739130431E-3</v>
      </c>
      <c r="N402" s="238"/>
      <c r="O402" s="238"/>
      <c r="P402" s="238"/>
      <c r="Q402" s="238"/>
    </row>
    <row r="403" spans="1:17" x14ac:dyDescent="0.35">
      <c r="A403" s="81"/>
      <c r="B403" s="81">
        <v>2</v>
      </c>
      <c r="C403" s="83">
        <v>1</v>
      </c>
      <c r="D403" s="83" t="s">
        <v>69</v>
      </c>
      <c r="E403" s="99" t="s">
        <v>710</v>
      </c>
      <c r="F403" s="391" t="str">
        <f t="shared" si="56"/>
        <v>BUL_MAD_L1</v>
      </c>
      <c r="G403" s="143">
        <f>VLOOKUP(F403,Volumenes!$D$19:$G$346,4,FALSE)</f>
        <v>14.2</v>
      </c>
      <c r="H403" s="97"/>
      <c r="I403" s="98">
        <f>15/60</f>
        <v>0.25</v>
      </c>
      <c r="J403" s="110">
        <f>+I403*(1+Tiempos!$C$17)</f>
        <v>0.263125</v>
      </c>
      <c r="K403" s="98">
        <f t="shared" si="57"/>
        <v>3.7363749999999998</v>
      </c>
      <c r="L403" s="98">
        <f>+K403/Tiempos!$B$11</f>
        <v>8.1225543478260862E-3</v>
      </c>
      <c r="M403" s="261">
        <f>+K403/Tiempos!$B$12</f>
        <v>4.0612771739130431E-3</v>
      </c>
      <c r="N403" s="238"/>
      <c r="O403" s="238"/>
      <c r="P403" s="238"/>
      <c r="Q403" s="238"/>
    </row>
    <row r="404" spans="1:17" x14ac:dyDescent="0.35">
      <c r="A404" s="81"/>
      <c r="B404" s="81">
        <v>2</v>
      </c>
      <c r="C404" s="83">
        <v>1</v>
      </c>
      <c r="D404" s="83" t="s">
        <v>69</v>
      </c>
      <c r="E404" s="99" t="s">
        <v>711</v>
      </c>
      <c r="F404" s="391" t="str">
        <f t="shared" si="56"/>
        <v>BUL_MAD_L1</v>
      </c>
      <c r="G404" s="143">
        <f>VLOOKUP(F404,Volumenes!$D$19:$G$346,4,FALSE)</f>
        <v>14.2</v>
      </c>
      <c r="H404" s="97"/>
      <c r="I404" s="98">
        <f>20/60</f>
        <v>0.33333333333333331</v>
      </c>
      <c r="J404" s="110">
        <f>+I404*(1+Tiempos!$C$17)</f>
        <v>0.35083333333333333</v>
      </c>
      <c r="K404" s="98">
        <f t="shared" si="57"/>
        <v>4.9818333333333333</v>
      </c>
      <c r="L404" s="98">
        <f>+K404/Tiempos!$B$11</f>
        <v>1.0830072463768116E-2</v>
      </c>
      <c r="M404" s="261">
        <f>+K404/Tiempos!$B$12</f>
        <v>5.4150362318840578E-3</v>
      </c>
      <c r="N404" s="238"/>
      <c r="O404" s="238"/>
      <c r="P404" s="238"/>
      <c r="Q404" s="238"/>
    </row>
    <row r="405" spans="1:17" x14ac:dyDescent="0.35">
      <c r="A405" s="81"/>
      <c r="B405" s="81">
        <v>2</v>
      </c>
      <c r="C405" s="83">
        <v>1</v>
      </c>
      <c r="D405" s="83" t="s">
        <v>69</v>
      </c>
      <c r="E405" s="99" t="s">
        <v>712</v>
      </c>
      <c r="F405" s="391" t="str">
        <f t="shared" si="56"/>
        <v>BUL_MAD_L1</v>
      </c>
      <c r="G405" s="143">
        <f>VLOOKUP(F405,Volumenes!$D$19:$G$346,4,FALSE)</f>
        <v>14.2</v>
      </c>
      <c r="H405" s="97"/>
      <c r="I405" s="98">
        <f>8/60</f>
        <v>0.13333333333333333</v>
      </c>
      <c r="J405" s="110">
        <f>+I405*(1+Tiempos!$C$17)</f>
        <v>0.14033333333333334</v>
      </c>
      <c r="K405" s="98">
        <f t="shared" si="57"/>
        <v>1.9927333333333332</v>
      </c>
      <c r="L405" s="98">
        <f>+K405/Tiempos!$B$11</f>
        <v>4.332028985507246E-3</v>
      </c>
      <c r="M405" s="261">
        <f>+K405/Tiempos!$B$12</f>
        <v>2.166014492753623E-3</v>
      </c>
      <c r="N405" s="238"/>
      <c r="O405" s="238"/>
      <c r="P405" s="238"/>
      <c r="Q405" s="238"/>
    </row>
    <row r="406" spans="1:17" x14ac:dyDescent="0.35">
      <c r="A406" s="75"/>
      <c r="B406" s="75"/>
      <c r="E406" s="104"/>
      <c r="F406" s="75"/>
      <c r="G406" s="152"/>
      <c r="H406" s="105"/>
      <c r="I406" s="109"/>
      <c r="J406" s="107"/>
      <c r="K406" s="162"/>
      <c r="L406" s="98">
        <f>SUM(L399:L405)</f>
        <v>0.15632793060200667</v>
      </c>
      <c r="M406" s="98">
        <f>SUM(M399:M405)</f>
        <v>7.8163965301003335E-2</v>
      </c>
      <c r="N406" s="98">
        <f>SUM(N399:N405)</f>
        <v>0</v>
      </c>
      <c r="O406" s="98"/>
      <c r="P406" s="98">
        <f>SUM(P399:P405)</f>
        <v>0</v>
      </c>
      <c r="Q406" s="98">
        <f>SUM(Q399:Q405)</f>
        <v>0</v>
      </c>
    </row>
    <row r="407" spans="1:17" x14ac:dyDescent="0.35">
      <c r="A407" s="75"/>
      <c r="B407" s="75"/>
      <c r="E407" s="104"/>
      <c r="F407" s="75"/>
      <c r="G407" s="152"/>
      <c r="H407" s="105"/>
      <c r="I407" s="109"/>
      <c r="J407" s="107"/>
      <c r="K407" s="162"/>
      <c r="L407" s="109"/>
      <c r="M407" s="109"/>
      <c r="N407" s="109"/>
      <c r="O407" s="109"/>
      <c r="P407" s="109"/>
      <c r="Q407" s="109"/>
    </row>
    <row r="408" spans="1:17" ht="13.15" x14ac:dyDescent="0.4">
      <c r="A408" s="296" t="s">
        <v>714</v>
      </c>
      <c r="B408" s="213"/>
      <c r="E408" s="104"/>
      <c r="F408" s="75"/>
      <c r="G408" s="152"/>
      <c r="H408" s="105"/>
      <c r="I408" s="109"/>
      <c r="J408" s="107"/>
      <c r="K408" s="162"/>
      <c r="L408" s="109"/>
    </row>
    <row r="409" spans="1:17" x14ac:dyDescent="0.35">
      <c r="A409" s="81"/>
      <c r="B409" s="81">
        <v>2</v>
      </c>
      <c r="C409" s="83">
        <v>1</v>
      </c>
      <c r="D409" s="83" t="s">
        <v>69</v>
      </c>
      <c r="E409" s="99" t="s">
        <v>695</v>
      </c>
      <c r="F409" s="391" t="str">
        <f>+Volumenes!D198</f>
        <v>BUL_MAD_L2/3</v>
      </c>
      <c r="G409" s="143">
        <f>VLOOKUP(F409,Volumenes!$D$19:$G$346,4,FALSE)</f>
        <v>6.746666666666667</v>
      </c>
      <c r="H409" s="97"/>
      <c r="I409" s="98">
        <f>8/60</f>
        <v>0.13333333333333333</v>
      </c>
      <c r="J409" s="110">
        <f>+I409*(1+Tiempos!$C$17)</f>
        <v>0.14033333333333334</v>
      </c>
      <c r="K409" s="123">
        <f t="shared" ref="K409:K415" si="58">+J409*G409</f>
        <v>0.9467822222222223</v>
      </c>
      <c r="L409" s="98">
        <f>+K409/Tiempos!$B$11</f>
        <v>2.0582222222222226E-3</v>
      </c>
      <c r="M409" s="261">
        <f>+K409/Tiempos!$B$12</f>
        <v>1.0291111111111113E-3</v>
      </c>
      <c r="N409" s="238"/>
      <c r="O409" s="238"/>
      <c r="P409" s="238"/>
      <c r="Q409" s="238"/>
    </row>
    <row r="410" spans="1:17" x14ac:dyDescent="0.35">
      <c r="A410" s="92"/>
      <c r="B410" s="92">
        <v>2</v>
      </c>
      <c r="C410" s="100">
        <v>1</v>
      </c>
      <c r="D410" s="100" t="s">
        <v>69</v>
      </c>
      <c r="E410" s="101" t="s">
        <v>707</v>
      </c>
      <c r="F410" s="393" t="str">
        <f t="shared" ref="F410:F415" si="59">+F409</f>
        <v>BUL_MAD_L2/3</v>
      </c>
      <c r="G410" s="144">
        <f>VLOOKUP(F410,Volumenes!$D$19:$G$346,4,FALSE)</f>
        <v>6.746666666666667</v>
      </c>
      <c r="H410" s="102">
        <f>+H400</f>
        <v>405</v>
      </c>
      <c r="I410" s="103">
        <f>+I400</f>
        <v>3.4615384615384617</v>
      </c>
      <c r="J410" s="111">
        <f>+I410*(1+Tiempos!$C$17)</f>
        <v>3.6432692307692309</v>
      </c>
      <c r="K410" s="146">
        <f t="shared" si="58"/>
        <v>24.57992307692308</v>
      </c>
      <c r="L410" s="103">
        <f>+K410/Tiempos!$B$11</f>
        <v>5.3434615384615393E-2</v>
      </c>
      <c r="M410" s="262">
        <f>+K410/Tiempos!$B$12</f>
        <v>2.6717307692307696E-2</v>
      </c>
      <c r="N410" s="243"/>
      <c r="O410" s="243"/>
      <c r="P410" s="243"/>
      <c r="Q410" s="243"/>
    </row>
    <row r="411" spans="1:17" x14ac:dyDescent="0.35">
      <c r="A411" s="81"/>
      <c r="B411" s="81">
        <v>2</v>
      </c>
      <c r="C411" s="83">
        <v>1</v>
      </c>
      <c r="D411" s="83" t="s">
        <v>69</v>
      </c>
      <c r="E411" s="99" t="s">
        <v>708</v>
      </c>
      <c r="F411" s="391" t="str">
        <f t="shared" si="59"/>
        <v>BUL_MAD_L2/3</v>
      </c>
      <c r="G411" s="143">
        <f>VLOOKUP(F411,Volumenes!$D$19:$G$346,4,FALSE)</f>
        <v>6.746666666666667</v>
      </c>
      <c r="H411" s="97"/>
      <c r="I411" s="98">
        <v>0.25</v>
      </c>
      <c r="J411" s="110">
        <f>+I411*(1+Tiempos!$C$17)</f>
        <v>0.263125</v>
      </c>
      <c r="K411" s="123">
        <f t="shared" si="58"/>
        <v>1.7752166666666667</v>
      </c>
      <c r="L411" s="98">
        <f>+K411/Tiempos!$B$11</f>
        <v>3.8591666666666666E-3</v>
      </c>
      <c r="M411" s="261">
        <f>+K411/Tiempos!$B$12</f>
        <v>1.9295833333333333E-3</v>
      </c>
      <c r="N411" s="238"/>
      <c r="O411" s="238"/>
      <c r="P411" s="238"/>
      <c r="Q411" s="238"/>
    </row>
    <row r="412" spans="1:17" x14ac:dyDescent="0.35">
      <c r="A412" s="81"/>
      <c r="B412" s="81">
        <v>2</v>
      </c>
      <c r="C412" s="83">
        <v>1</v>
      </c>
      <c r="D412" s="83" t="s">
        <v>69</v>
      </c>
      <c r="E412" s="99" t="s">
        <v>709</v>
      </c>
      <c r="F412" s="391" t="str">
        <f t="shared" si="59"/>
        <v>BUL_MAD_L2/3</v>
      </c>
      <c r="G412" s="143">
        <f>VLOOKUP(F412,Volumenes!$D$19:$G$346,4,FALSE)</f>
        <v>6.746666666666667</v>
      </c>
      <c r="H412" s="97"/>
      <c r="I412" s="98">
        <f>15/60</f>
        <v>0.25</v>
      </c>
      <c r="J412" s="110">
        <f>+I412*(1+Tiempos!$C$17)</f>
        <v>0.263125</v>
      </c>
      <c r="K412" s="123">
        <f t="shared" si="58"/>
        <v>1.7752166666666667</v>
      </c>
      <c r="L412" s="98">
        <f>+K412/Tiempos!$B$11</f>
        <v>3.8591666666666666E-3</v>
      </c>
      <c r="M412" s="261">
        <f>+K412/Tiempos!$B$12</f>
        <v>1.9295833333333333E-3</v>
      </c>
      <c r="N412" s="238"/>
      <c r="O412" s="238"/>
      <c r="P412" s="238"/>
      <c r="Q412" s="238"/>
    </row>
    <row r="413" spans="1:17" x14ac:dyDescent="0.35">
      <c r="A413" s="81"/>
      <c r="B413" s="81">
        <v>2</v>
      </c>
      <c r="C413" s="83">
        <v>1</v>
      </c>
      <c r="D413" s="83" t="s">
        <v>69</v>
      </c>
      <c r="E413" s="99" t="s">
        <v>710</v>
      </c>
      <c r="F413" s="391" t="str">
        <f t="shared" si="59"/>
        <v>BUL_MAD_L2/3</v>
      </c>
      <c r="G413" s="143">
        <f>VLOOKUP(F413,Volumenes!$D$19:$G$346,4,FALSE)</f>
        <v>6.746666666666667</v>
      </c>
      <c r="H413" s="97"/>
      <c r="I413" s="98">
        <f>15/60</f>
        <v>0.25</v>
      </c>
      <c r="J413" s="110">
        <f>+I413*(1+Tiempos!$C$17)</f>
        <v>0.263125</v>
      </c>
      <c r="K413" s="123">
        <f t="shared" si="58"/>
        <v>1.7752166666666667</v>
      </c>
      <c r="L413" s="98">
        <f>+K413/Tiempos!$B$11</f>
        <v>3.8591666666666666E-3</v>
      </c>
      <c r="M413" s="261">
        <f>+K413/Tiempos!$B$12</f>
        <v>1.9295833333333333E-3</v>
      </c>
      <c r="N413" s="238"/>
      <c r="O413" s="238"/>
      <c r="P413" s="238"/>
      <c r="Q413" s="238"/>
    </row>
    <row r="414" spans="1:17" x14ac:dyDescent="0.35">
      <c r="A414" s="81"/>
      <c r="B414" s="81">
        <v>2</v>
      </c>
      <c r="C414" s="83">
        <v>1</v>
      </c>
      <c r="D414" s="83" t="s">
        <v>69</v>
      </c>
      <c r="E414" s="99" t="s">
        <v>711</v>
      </c>
      <c r="F414" s="391" t="str">
        <f t="shared" si="59"/>
        <v>BUL_MAD_L2/3</v>
      </c>
      <c r="G414" s="143">
        <f>VLOOKUP(F414,Volumenes!$D$19:$G$346,4,FALSE)</f>
        <v>6.746666666666667</v>
      </c>
      <c r="H414" s="97"/>
      <c r="I414" s="98">
        <f>20/60</f>
        <v>0.33333333333333331</v>
      </c>
      <c r="J414" s="110">
        <f>+I414*(1+Tiempos!$C$17)</f>
        <v>0.35083333333333333</v>
      </c>
      <c r="K414" s="123">
        <f t="shared" si="58"/>
        <v>2.3669555555555557</v>
      </c>
      <c r="L414" s="98">
        <f>+K414/Tiempos!$B$11</f>
        <v>5.145555555555556E-3</v>
      </c>
      <c r="M414" s="261">
        <f>+K414/Tiempos!$B$12</f>
        <v>2.572777777777778E-3</v>
      </c>
      <c r="N414" s="238"/>
      <c r="O414" s="238"/>
      <c r="P414" s="238"/>
      <c r="Q414" s="238"/>
    </row>
    <row r="415" spans="1:17" x14ac:dyDescent="0.35">
      <c r="A415" s="81"/>
      <c r="B415" s="81">
        <v>2</v>
      </c>
      <c r="C415" s="83">
        <v>1</v>
      </c>
      <c r="D415" s="83" t="s">
        <v>69</v>
      </c>
      <c r="E415" s="99" t="s">
        <v>712</v>
      </c>
      <c r="F415" s="391" t="str">
        <f t="shared" si="59"/>
        <v>BUL_MAD_L2/3</v>
      </c>
      <c r="G415" s="143">
        <f>VLOOKUP(F415,Volumenes!$D$19:$G$346,4,FALSE)</f>
        <v>6.746666666666667</v>
      </c>
      <c r="H415" s="97"/>
      <c r="I415" s="98">
        <f>8/60</f>
        <v>0.13333333333333333</v>
      </c>
      <c r="J415" s="110">
        <f>+I415*(1+Tiempos!$C$17)</f>
        <v>0.14033333333333334</v>
      </c>
      <c r="K415" s="123">
        <f t="shared" si="58"/>
        <v>0.9467822222222223</v>
      </c>
      <c r="L415" s="98">
        <f>+K415/Tiempos!$B$11</f>
        <v>2.0582222222222226E-3</v>
      </c>
      <c r="M415" s="261">
        <f>+K415/Tiempos!$B$12</f>
        <v>1.0291111111111113E-3</v>
      </c>
      <c r="N415" s="238"/>
      <c r="O415" s="238"/>
      <c r="P415" s="238"/>
      <c r="Q415" s="238"/>
    </row>
    <row r="416" spans="1:17" x14ac:dyDescent="0.35">
      <c r="A416" s="75"/>
      <c r="B416" s="75"/>
      <c r="E416" s="104"/>
      <c r="F416" s="75"/>
      <c r="G416" s="152"/>
      <c r="H416" s="105"/>
      <c r="I416" s="109"/>
      <c r="J416" s="107"/>
      <c r="K416" s="162"/>
      <c r="L416" s="98">
        <f>SUM(L409:L415)</f>
        <v>7.4274115384615397E-2</v>
      </c>
      <c r="M416" s="98">
        <f>SUM(M409:M415)</f>
        <v>3.7137057692307698E-2</v>
      </c>
      <c r="N416" s="98">
        <f>SUM(N409:N415)</f>
        <v>0</v>
      </c>
      <c r="O416" s="98"/>
      <c r="P416" s="98">
        <f>SUM(P409:P415)</f>
        <v>0</v>
      </c>
      <c r="Q416" s="98">
        <f>SUM(Q409:Q415)</f>
        <v>0</v>
      </c>
    </row>
    <row r="417" spans="1:17" x14ac:dyDescent="0.35">
      <c r="A417" s="75"/>
      <c r="B417" s="75"/>
      <c r="E417" s="104"/>
      <c r="F417" s="75"/>
      <c r="G417" s="152"/>
      <c r="H417" s="105"/>
      <c r="I417" s="109"/>
      <c r="J417" s="107"/>
      <c r="K417" s="162"/>
      <c r="L417" s="109"/>
      <c r="M417" s="109"/>
      <c r="N417" s="109"/>
      <c r="O417" s="109"/>
      <c r="P417" s="109"/>
      <c r="Q417" s="109"/>
    </row>
    <row r="418" spans="1:17" ht="13.15" x14ac:dyDescent="0.4">
      <c r="A418" s="296" t="s">
        <v>487</v>
      </c>
      <c r="B418" s="213"/>
      <c r="E418" s="104"/>
      <c r="F418" s="75"/>
      <c r="G418" s="152"/>
      <c r="H418" s="105"/>
      <c r="I418" s="109"/>
      <c r="J418" s="107"/>
      <c r="K418" s="162"/>
      <c r="L418" s="109"/>
    </row>
    <row r="419" spans="1:17" x14ac:dyDescent="0.35">
      <c r="A419" s="81"/>
      <c r="B419" s="81"/>
      <c r="C419" s="83">
        <v>1</v>
      </c>
      <c r="D419" s="83" t="s">
        <v>69</v>
      </c>
      <c r="E419" s="99" t="s">
        <v>715</v>
      </c>
      <c r="F419" s="391" t="str">
        <f>+Volumenes!D203</f>
        <v>ARM_BAJ</v>
      </c>
      <c r="G419" s="143">
        <f>VLOOKUP(F419,Volumenes!$D$19:$G$346,4,FALSE)</f>
        <v>10.752000000000001</v>
      </c>
      <c r="H419" s="97"/>
      <c r="I419" s="98">
        <f>20/60</f>
        <v>0.33333333333333331</v>
      </c>
      <c r="J419" s="110">
        <f>+I419*(1+Tiempos!$C$17)</f>
        <v>0.35083333333333333</v>
      </c>
      <c r="K419" s="123">
        <f t="shared" ref="K419:K422" si="60">+J419*G419</f>
        <v>3.7721600000000004</v>
      </c>
      <c r="L419" s="98">
        <f>+K419/Tiempos!$B$11</f>
        <v>8.2003478260869577E-3</v>
      </c>
      <c r="M419" s="261">
        <f>+K419/Tiempos!$B$12</f>
        <v>4.1001739130434789E-3</v>
      </c>
      <c r="N419" s="238"/>
      <c r="O419" s="238"/>
      <c r="P419" s="238"/>
      <c r="Q419" s="238"/>
    </row>
    <row r="420" spans="1:17" x14ac:dyDescent="0.35">
      <c r="A420" s="92"/>
      <c r="B420" s="92"/>
      <c r="C420" s="100">
        <v>1</v>
      </c>
      <c r="D420" s="100" t="s">
        <v>69</v>
      </c>
      <c r="E420" s="101" t="s">
        <v>716</v>
      </c>
      <c r="F420" s="393" t="str">
        <f t="shared" ref="F420:F422" si="61">+F419</f>
        <v>ARM_BAJ</v>
      </c>
      <c r="G420" s="144">
        <f>VLOOKUP(F420,Volumenes!$D$19:$G$346,4,FALSE)</f>
        <v>10.752000000000001</v>
      </c>
      <c r="H420" s="102">
        <f>VLOOKUP(F420,Tiempos!$D$42:$F$131,2,FALSE)</f>
        <v>185</v>
      </c>
      <c r="I420" s="103">
        <f>VLOOKUP(F420,Tiempos!$D$42:$F$117,3,FALSE)</f>
        <v>1.5811965811965814</v>
      </c>
      <c r="J420" s="111">
        <f>+I420*(1+Tiempos!$C$17)</f>
        <v>1.6642094017094018</v>
      </c>
      <c r="K420" s="146">
        <f t="shared" si="60"/>
        <v>17.89357948717949</v>
      </c>
      <c r="L420" s="103">
        <f>+K420/Tiempos!$B$11</f>
        <v>3.8899085841694547E-2</v>
      </c>
      <c r="M420" s="262">
        <f>+K420/Tiempos!$B$12</f>
        <v>1.9449542920847274E-2</v>
      </c>
      <c r="N420" s="243"/>
      <c r="O420" s="243"/>
      <c r="P420" s="243"/>
      <c r="Q420" s="243"/>
    </row>
    <row r="421" spans="1:17" x14ac:dyDescent="0.35">
      <c r="A421" s="81"/>
      <c r="B421" s="81"/>
      <c r="C421" s="83">
        <v>1</v>
      </c>
      <c r="D421" s="83" t="s">
        <v>69</v>
      </c>
      <c r="E421" s="99" t="s">
        <v>717</v>
      </c>
      <c r="F421" s="391" t="str">
        <f t="shared" si="61"/>
        <v>ARM_BAJ</v>
      </c>
      <c r="G421" s="143">
        <f>VLOOKUP(F421,Volumenes!$D$19:$G$346,4,FALSE)</f>
        <v>10.752000000000001</v>
      </c>
      <c r="H421" s="97"/>
      <c r="I421" s="98">
        <f>15/60</f>
        <v>0.25</v>
      </c>
      <c r="J421" s="110">
        <f>+I421*(1+Tiempos!$C$17)</f>
        <v>0.263125</v>
      </c>
      <c r="K421" s="123">
        <f t="shared" si="60"/>
        <v>2.8291200000000001</v>
      </c>
      <c r="L421" s="98">
        <f>+K421/Tiempos!$B$11</f>
        <v>6.1502608695652178E-3</v>
      </c>
      <c r="M421" s="261">
        <f>+K421/Tiempos!$B$12</f>
        <v>3.0751304347826089E-3</v>
      </c>
      <c r="N421" s="238"/>
      <c r="O421" s="238"/>
      <c r="P421" s="238"/>
      <c r="Q421" s="238"/>
    </row>
    <row r="422" spans="1:17" x14ac:dyDescent="0.35">
      <c r="A422" s="81"/>
      <c r="B422" s="81"/>
      <c r="C422" s="83">
        <v>1</v>
      </c>
      <c r="D422" s="83" t="s">
        <v>69</v>
      </c>
      <c r="E422" s="99" t="s">
        <v>738</v>
      </c>
      <c r="F422" s="391" t="str">
        <f t="shared" si="61"/>
        <v>ARM_BAJ</v>
      </c>
      <c r="G422" s="143">
        <f>VLOOKUP(F422,Volumenes!$D$19:$G$346,4,FALSE)</f>
        <v>10.752000000000001</v>
      </c>
      <c r="H422" s="97"/>
      <c r="I422" s="98">
        <f>5/60</f>
        <v>8.3333333333333329E-2</v>
      </c>
      <c r="J422" s="110">
        <f>+I422*(1+Tiempos!$C$17)</f>
        <v>8.7708333333333333E-2</v>
      </c>
      <c r="K422" s="123">
        <f t="shared" si="60"/>
        <v>0.9430400000000001</v>
      </c>
      <c r="L422" s="98">
        <f>+K422/Tiempos!$B$11</f>
        <v>2.0500869565217394E-3</v>
      </c>
      <c r="M422" s="261">
        <f>+K422/Tiempos!$B$12</f>
        <v>1.0250434782608697E-3</v>
      </c>
      <c r="N422" s="238"/>
      <c r="O422" s="238"/>
      <c r="P422" s="238"/>
      <c r="Q422" s="238"/>
    </row>
    <row r="423" spans="1:17" x14ac:dyDescent="0.35">
      <c r="A423" s="75"/>
      <c r="B423" s="75"/>
      <c r="E423" s="104"/>
      <c r="F423" s="75"/>
      <c r="G423" s="152"/>
      <c r="H423" s="105"/>
      <c r="I423" s="109"/>
      <c r="J423" s="107"/>
      <c r="K423" s="162"/>
      <c r="L423" s="98">
        <f>SUM(L419:L422)</f>
        <v>5.5299781493868459E-2</v>
      </c>
      <c r="M423" s="98">
        <f>SUM(M419:M422)</f>
        <v>2.764989074693423E-2</v>
      </c>
      <c r="N423" s="98">
        <f>SUM(N419:N422)</f>
        <v>0</v>
      </c>
      <c r="O423" s="98"/>
      <c r="P423" s="98">
        <f>SUM(P419:P422)</f>
        <v>0</v>
      </c>
      <c r="Q423" s="98">
        <f>SUM(Q419:Q422)</f>
        <v>0</v>
      </c>
    </row>
    <row r="424" spans="1:17" ht="13.5" x14ac:dyDescent="0.35">
      <c r="A424" s="414"/>
      <c r="B424" s="75"/>
      <c r="E424" s="104"/>
      <c r="F424" s="75"/>
      <c r="G424" s="105"/>
      <c r="H424" s="105"/>
      <c r="I424" s="106"/>
      <c r="K424" s="82"/>
      <c r="L424" s="195"/>
      <c r="M424" s="195"/>
      <c r="N424" s="195"/>
      <c r="O424" s="195"/>
      <c r="P424" s="195"/>
      <c r="Q424" s="195"/>
    </row>
    <row r="425" spans="1:17" ht="13.15" x14ac:dyDescent="0.4">
      <c r="A425" s="296" t="s">
        <v>744</v>
      </c>
      <c r="B425" s="213"/>
      <c r="E425" s="104"/>
      <c r="F425" s="75"/>
      <c r="G425" s="152"/>
      <c r="H425" s="105"/>
      <c r="I425" s="109"/>
      <c r="J425" s="107"/>
      <c r="K425" s="162"/>
      <c r="L425" s="109"/>
    </row>
    <row r="426" spans="1:17" x14ac:dyDescent="0.35">
      <c r="A426" s="81"/>
      <c r="B426" s="81"/>
      <c r="C426" s="83">
        <v>1</v>
      </c>
      <c r="D426" s="83" t="s">
        <v>69</v>
      </c>
      <c r="E426" s="99" t="s">
        <v>741</v>
      </c>
      <c r="F426" s="391" t="str">
        <f>+Volumenes!D204</f>
        <v>ARM_BAJ_MAQ</v>
      </c>
      <c r="G426" s="143">
        <f>VLOOKUP(F426,Volumenes!$D$19:$G$346,4,FALSE)</f>
        <v>22.400000000000002</v>
      </c>
      <c r="H426" s="97"/>
      <c r="I426" s="98">
        <f>15/60</f>
        <v>0.25</v>
      </c>
      <c r="J426" s="110">
        <f>+I426*(1+Tiempos!$C$17)</f>
        <v>0.263125</v>
      </c>
      <c r="K426" s="123">
        <f t="shared" ref="K426:K428" si="62">+J426*G426</f>
        <v>5.8940000000000001</v>
      </c>
      <c r="L426" s="98">
        <f>+K426/Tiempos!$B$11</f>
        <v>1.281304347826087E-2</v>
      </c>
      <c r="M426" s="261">
        <f>+K426/Tiempos!$B$12</f>
        <v>6.4065217391304349E-3</v>
      </c>
      <c r="N426" s="238"/>
      <c r="O426" s="238"/>
      <c r="P426" s="238"/>
      <c r="Q426" s="238"/>
    </row>
    <row r="427" spans="1:17" x14ac:dyDescent="0.35">
      <c r="A427" s="92"/>
      <c r="B427" s="92"/>
      <c r="C427" s="100">
        <v>1</v>
      </c>
      <c r="D427" s="100" t="s">
        <v>69</v>
      </c>
      <c r="E427" s="101" t="s">
        <v>742</v>
      </c>
      <c r="F427" s="393" t="str">
        <f>+F426</f>
        <v>ARM_BAJ_MAQ</v>
      </c>
      <c r="G427" s="144">
        <f>VLOOKUP(F427,Volumenes!$D$19:$G$346,4,FALSE)</f>
        <v>22.400000000000002</v>
      </c>
      <c r="H427" s="102">
        <f>VLOOKUP(F427,Tiempos!$D$42:$F$131,2,FALSE)</f>
        <v>200</v>
      </c>
      <c r="I427" s="103">
        <f>VLOOKUP(F427,Tiempos!$D$42:$F$117,3,FALSE)</f>
        <v>1.7094017094017095</v>
      </c>
      <c r="J427" s="111">
        <f>+I427*(1+Tiempos!$C$17)</f>
        <v>1.7991452991452992</v>
      </c>
      <c r="K427" s="146">
        <f t="shared" si="62"/>
        <v>40.300854700854707</v>
      </c>
      <c r="L427" s="103">
        <f>+K427/Tiempos!$B$11</f>
        <v>8.7610553697510238E-2</v>
      </c>
      <c r="M427" s="262">
        <f>+K427/Tiempos!$B$12</f>
        <v>4.3805276848755119E-2</v>
      </c>
      <c r="N427" s="243"/>
      <c r="O427" s="243"/>
      <c r="P427" s="243"/>
      <c r="Q427" s="243"/>
    </row>
    <row r="428" spans="1:17" x14ac:dyDescent="0.35">
      <c r="A428" s="81"/>
      <c r="B428" s="81"/>
      <c r="C428" s="83">
        <v>1</v>
      </c>
      <c r="D428" s="83" t="s">
        <v>69</v>
      </c>
      <c r="E428" s="99" t="s">
        <v>743</v>
      </c>
      <c r="F428" s="391" t="str">
        <f>+F427</f>
        <v>ARM_BAJ_MAQ</v>
      </c>
      <c r="G428" s="143">
        <f>VLOOKUP(F428,Volumenes!$D$19:$G$346,4,FALSE)</f>
        <v>22.400000000000002</v>
      </c>
      <c r="H428" s="97"/>
      <c r="I428" s="98">
        <f>25/60</f>
        <v>0.41666666666666669</v>
      </c>
      <c r="J428" s="110">
        <f>+I428*(1+Tiempos!$C$17)</f>
        <v>0.43854166666666666</v>
      </c>
      <c r="K428" s="123">
        <f t="shared" si="62"/>
        <v>9.8233333333333341</v>
      </c>
      <c r="L428" s="98">
        <f>+K428/Tiempos!$B$11</f>
        <v>2.1355072463768117E-2</v>
      </c>
      <c r="M428" s="261">
        <f>+K428/Tiempos!$B$12</f>
        <v>1.0677536231884058E-2</v>
      </c>
      <c r="N428" s="238"/>
      <c r="O428" s="238"/>
      <c r="P428" s="238"/>
      <c r="Q428" s="238"/>
    </row>
    <row r="429" spans="1:17" x14ac:dyDescent="0.35">
      <c r="A429" s="75"/>
      <c r="B429" s="75"/>
      <c r="E429" s="104"/>
      <c r="F429" s="75"/>
      <c r="G429" s="152"/>
      <c r="H429" s="105"/>
      <c r="I429" s="109"/>
      <c r="J429" s="107"/>
      <c r="K429" s="162"/>
      <c r="L429" s="98">
        <f>SUM(L426:L428)</f>
        <v>0.12177866963953923</v>
      </c>
      <c r="M429" s="98">
        <f>SUM(M426:M428)</f>
        <v>6.0889334819769617E-2</v>
      </c>
      <c r="N429" s="98">
        <f>SUM(N426:N428)</f>
        <v>0</v>
      </c>
      <c r="O429" s="98"/>
      <c r="P429" s="98">
        <f>SUM(P426:P428)</f>
        <v>0</v>
      </c>
      <c r="Q429" s="98">
        <f>SUM(Q426:Q428)</f>
        <v>0</v>
      </c>
    </row>
    <row r="430" spans="1:17" x14ac:dyDescent="0.35">
      <c r="A430" s="75"/>
      <c r="B430" s="75"/>
      <c r="E430" s="104"/>
      <c r="F430" s="75"/>
      <c r="G430" s="152"/>
      <c r="H430" s="105"/>
      <c r="I430" s="109"/>
      <c r="J430" s="107"/>
      <c r="K430" s="162"/>
      <c r="L430" s="109"/>
      <c r="M430" s="109"/>
      <c r="N430" s="109"/>
      <c r="O430" s="109"/>
      <c r="P430" s="109"/>
      <c r="Q430" s="109"/>
    </row>
    <row r="431" spans="1:17" ht="13.15" x14ac:dyDescent="0.4">
      <c r="A431" s="296" t="s">
        <v>745</v>
      </c>
      <c r="B431" s="213"/>
      <c r="E431" s="104"/>
      <c r="F431" s="75"/>
      <c r="G431" s="152"/>
      <c r="H431" s="105"/>
      <c r="I431" s="109"/>
      <c r="J431" s="107"/>
      <c r="K431" s="162"/>
      <c r="L431" s="109"/>
    </row>
    <row r="432" spans="1:17" x14ac:dyDescent="0.35">
      <c r="A432" s="81"/>
      <c r="B432" s="81">
        <v>2</v>
      </c>
      <c r="C432" s="83">
        <v>1</v>
      </c>
      <c r="D432" s="83" t="s">
        <v>69</v>
      </c>
      <c r="E432" s="99" t="s">
        <v>746</v>
      </c>
      <c r="F432" s="391" t="str">
        <f>+Volumenes!D204</f>
        <v>ARM_BAJ_MAQ</v>
      </c>
      <c r="G432" s="143">
        <f>VLOOKUP(F432,Volumenes!$D$19:$G$346,4,FALSE)</f>
        <v>22.400000000000002</v>
      </c>
      <c r="H432" s="97"/>
      <c r="I432" s="98">
        <f>10/60</f>
        <v>0.16666666666666666</v>
      </c>
      <c r="J432" s="110">
        <f>+I432*(1+Tiempos!$C$17)</f>
        <v>0.17541666666666667</v>
      </c>
      <c r="K432" s="123">
        <f t="shared" ref="K432:K436" si="63">+J432*G432</f>
        <v>3.9293333333333336</v>
      </c>
      <c r="L432" s="98">
        <f>+K432/Tiempos!$B$11</f>
        <v>8.5420289855072471E-3</v>
      </c>
      <c r="M432" s="261">
        <f>+K432/Tiempos!$B$12</f>
        <v>4.2710144927536236E-3</v>
      </c>
      <c r="N432" s="238"/>
      <c r="O432" s="238"/>
      <c r="P432" s="238"/>
      <c r="Q432" s="238"/>
    </row>
    <row r="433" spans="1:17" x14ac:dyDescent="0.35">
      <c r="A433" s="92"/>
      <c r="B433" s="92">
        <v>2</v>
      </c>
      <c r="C433" s="100">
        <v>1</v>
      </c>
      <c r="D433" s="100" t="s">
        <v>69</v>
      </c>
      <c r="E433" s="101" t="s">
        <v>747</v>
      </c>
      <c r="F433" s="393" t="str">
        <f>+F432</f>
        <v>ARM_BAJ_MAQ</v>
      </c>
      <c r="G433" s="144">
        <f>VLOOKUP(F433,Volumenes!$D$19:$G$346,4,FALSE)</f>
        <v>22.400000000000002</v>
      </c>
      <c r="H433" s="102">
        <v>140</v>
      </c>
      <c r="I433" s="103">
        <f>+(H433/Tiempos!B29)/60</f>
        <v>1.1965811965811965</v>
      </c>
      <c r="J433" s="111">
        <f>+I433*(1+Tiempos!$C$17)</f>
        <v>1.2594017094017094</v>
      </c>
      <c r="K433" s="146">
        <f t="shared" si="63"/>
        <v>28.210598290598291</v>
      </c>
      <c r="L433" s="103">
        <f>+K433/Tiempos!$B$11</f>
        <v>6.1327387588257155E-2</v>
      </c>
      <c r="M433" s="262">
        <f>+K433/Tiempos!$B$12</f>
        <v>3.0663693794128578E-2</v>
      </c>
      <c r="N433" s="243"/>
      <c r="O433" s="243"/>
      <c r="P433" s="243"/>
      <c r="Q433" s="243"/>
    </row>
    <row r="434" spans="1:17" x14ac:dyDescent="0.35">
      <c r="A434" s="81"/>
      <c r="B434" s="81">
        <v>2</v>
      </c>
      <c r="C434" s="83">
        <v>1</v>
      </c>
      <c r="D434" s="83" t="s">
        <v>69</v>
      </c>
      <c r="E434" s="99" t="s">
        <v>749</v>
      </c>
      <c r="F434" s="391" t="str">
        <f t="shared" ref="F434:F436" si="64">+F433</f>
        <v>ARM_BAJ_MAQ</v>
      </c>
      <c r="G434" s="143">
        <f>VLOOKUP(F434,Volumenes!$D$19:$G$346,4,FALSE)</f>
        <v>22.400000000000002</v>
      </c>
      <c r="H434" s="97"/>
      <c r="I434" s="98">
        <f>25/60</f>
        <v>0.41666666666666669</v>
      </c>
      <c r="J434" s="110">
        <f>+I434*(1+Tiempos!$C$17)</f>
        <v>0.43854166666666666</v>
      </c>
      <c r="K434" s="123">
        <f t="shared" si="63"/>
        <v>9.8233333333333341</v>
      </c>
      <c r="L434" s="98">
        <f>+K434/Tiempos!$B$11</f>
        <v>2.1355072463768117E-2</v>
      </c>
      <c r="M434" s="261">
        <f>+K434/Tiempos!$B$12</f>
        <v>1.0677536231884058E-2</v>
      </c>
      <c r="N434" s="238"/>
      <c r="O434" s="238"/>
      <c r="P434" s="238"/>
      <c r="Q434" s="238"/>
    </row>
    <row r="435" spans="1:17" x14ac:dyDescent="0.35">
      <c r="A435" s="92"/>
      <c r="B435" s="92">
        <v>2</v>
      </c>
      <c r="C435" s="100">
        <v>1</v>
      </c>
      <c r="D435" s="100" t="s">
        <v>69</v>
      </c>
      <c r="E435" s="101" t="s">
        <v>748</v>
      </c>
      <c r="F435" s="393" t="str">
        <f>+F432</f>
        <v>ARM_BAJ_MAQ</v>
      </c>
      <c r="G435" s="144">
        <f>VLOOKUP(F435,Volumenes!$D$19:$G$346,4,FALSE)</f>
        <v>22.400000000000002</v>
      </c>
      <c r="H435" s="102">
        <f>VLOOKUP(F435,Tiempos!$D$42:$F$131,2,FALSE)</f>
        <v>200</v>
      </c>
      <c r="I435" s="103">
        <f>VLOOKUP(F435,Tiempos!$D$42:$F$117,3,FALSE)</f>
        <v>1.7094017094017095</v>
      </c>
      <c r="J435" s="111">
        <f>+I435*(1+Tiempos!$C$17)</f>
        <v>1.7991452991452992</v>
      </c>
      <c r="K435" s="146">
        <f t="shared" si="63"/>
        <v>40.300854700854707</v>
      </c>
      <c r="L435" s="103">
        <f>+K435/Tiempos!$B$11</f>
        <v>8.7610553697510238E-2</v>
      </c>
      <c r="M435" s="262">
        <f>+K435/Tiempos!$B$12</f>
        <v>4.3805276848755119E-2</v>
      </c>
      <c r="N435" s="243"/>
      <c r="O435" s="243"/>
      <c r="P435" s="243"/>
      <c r="Q435" s="243"/>
    </row>
    <row r="436" spans="1:17" x14ac:dyDescent="0.35">
      <c r="A436" s="81"/>
      <c r="B436" s="81">
        <v>2</v>
      </c>
      <c r="C436" s="83">
        <v>1</v>
      </c>
      <c r="D436" s="83" t="s">
        <v>69</v>
      </c>
      <c r="E436" s="99" t="s">
        <v>750</v>
      </c>
      <c r="F436" s="391" t="str">
        <f t="shared" si="64"/>
        <v>ARM_BAJ_MAQ</v>
      </c>
      <c r="G436" s="143">
        <f>VLOOKUP(F436,Volumenes!$D$19:$G$346,4,FALSE)</f>
        <v>22.400000000000002</v>
      </c>
      <c r="H436" s="97"/>
      <c r="I436" s="98">
        <f>15/60</f>
        <v>0.25</v>
      </c>
      <c r="J436" s="110">
        <f>+I436*(1+Tiempos!$C$17)</f>
        <v>0.263125</v>
      </c>
      <c r="K436" s="123">
        <f t="shared" si="63"/>
        <v>5.8940000000000001</v>
      </c>
      <c r="L436" s="98">
        <f>+K436/Tiempos!$B$11</f>
        <v>1.281304347826087E-2</v>
      </c>
      <c r="M436" s="261">
        <f>+K436/Tiempos!$B$12</f>
        <v>6.4065217391304349E-3</v>
      </c>
      <c r="N436" s="238"/>
      <c r="O436" s="238"/>
      <c r="P436" s="238"/>
      <c r="Q436" s="238"/>
    </row>
    <row r="437" spans="1:17" x14ac:dyDescent="0.35">
      <c r="A437" s="75"/>
      <c r="B437" s="75"/>
      <c r="E437" s="104"/>
      <c r="F437" s="75"/>
      <c r="G437" s="152"/>
      <c r="H437" s="105"/>
      <c r="I437" s="109"/>
      <c r="J437" s="107"/>
      <c r="K437" s="162"/>
      <c r="L437" s="98">
        <f>SUM(L432:L436)</f>
        <v>0.19164808621330362</v>
      </c>
      <c r="M437" s="98">
        <f>SUM(M432:M436)</f>
        <v>9.582404310665181E-2</v>
      </c>
      <c r="N437" s="98">
        <f>SUM(N432:N436)</f>
        <v>0</v>
      </c>
      <c r="O437" s="98"/>
      <c r="P437" s="98">
        <f>SUM(P432:P436)</f>
        <v>0</v>
      </c>
      <c r="Q437" s="98">
        <f>SUM(Q432:Q436)</f>
        <v>0</v>
      </c>
    </row>
    <row r="438" spans="1:17" x14ac:dyDescent="0.35">
      <c r="A438" s="75"/>
      <c r="B438" s="75"/>
      <c r="E438" s="104"/>
      <c r="F438" s="75"/>
      <c r="G438" s="152"/>
      <c r="H438" s="105"/>
      <c r="I438" s="109"/>
      <c r="J438" s="107"/>
      <c r="K438" s="162"/>
      <c r="L438" s="109"/>
      <c r="M438" s="109"/>
      <c r="N438" s="109"/>
      <c r="O438" s="109"/>
      <c r="P438" s="109"/>
      <c r="Q438" s="109"/>
    </row>
    <row r="439" spans="1:17" ht="17.649999999999999" x14ac:dyDescent="0.35">
      <c r="A439" s="79" t="s">
        <v>663</v>
      </c>
      <c r="B439" s="79"/>
      <c r="C439" s="70"/>
      <c r="D439" s="70"/>
      <c r="E439" s="94"/>
      <c r="F439" s="80"/>
      <c r="G439" s="80"/>
      <c r="H439" s="80"/>
      <c r="I439" s="80"/>
      <c r="J439" s="80"/>
      <c r="K439" s="80"/>
      <c r="L439" s="80"/>
    </row>
    <row r="440" spans="1:17" ht="13.15" x14ac:dyDescent="0.4">
      <c r="A440" s="84" t="s">
        <v>1076</v>
      </c>
      <c r="B440" s="84"/>
      <c r="C440" s="70"/>
      <c r="D440" s="70"/>
      <c r="E440" s="94"/>
      <c r="F440" s="80"/>
      <c r="G440" s="80"/>
      <c r="H440" s="80"/>
      <c r="I440" s="80"/>
      <c r="J440" s="80"/>
      <c r="K440" s="80"/>
      <c r="L440" s="80"/>
    </row>
    <row r="441" spans="1:17" x14ac:dyDescent="0.35">
      <c r="A441" s="81"/>
      <c r="B441" s="81">
        <v>2</v>
      </c>
      <c r="C441" s="83">
        <v>1</v>
      </c>
      <c r="D441" s="83" t="s">
        <v>333</v>
      </c>
      <c r="E441" s="99" t="s">
        <v>679</v>
      </c>
      <c r="F441" s="81" t="str">
        <f>+Volumenes!D161</f>
        <v>CAR_SUM_L1</v>
      </c>
      <c r="G441" s="180">
        <f>VLOOKUP(F441,Volumenes!$D$19:$G$346,4,FALSE)</f>
        <v>300</v>
      </c>
      <c r="H441" s="97"/>
      <c r="I441" s="98">
        <f>10/60</f>
        <v>0.16666666666666666</v>
      </c>
      <c r="J441" s="110">
        <f>+I441*(1+Tiempos!$C$17)</f>
        <v>0.17541666666666667</v>
      </c>
      <c r="K441" s="98">
        <f>+J441*G441</f>
        <v>52.625</v>
      </c>
      <c r="L441" s="98">
        <f>+K441/Tiempos!$B$11</f>
        <v>0.11440217391304348</v>
      </c>
      <c r="M441" s="238"/>
      <c r="N441" s="238"/>
      <c r="O441" s="238"/>
      <c r="P441" s="238"/>
      <c r="Q441" s="261"/>
    </row>
    <row r="442" spans="1:17" x14ac:dyDescent="0.35">
      <c r="A442" s="81"/>
      <c r="B442" s="81">
        <v>2</v>
      </c>
      <c r="C442" s="83">
        <v>1</v>
      </c>
      <c r="D442" s="83" t="s">
        <v>333</v>
      </c>
      <c r="E442" s="99" t="s">
        <v>680</v>
      </c>
      <c r="F442" s="81" t="str">
        <f>+Volumenes!D152</f>
        <v>PIE_EROS_L1</v>
      </c>
      <c r="G442" s="180">
        <f>VLOOKUP(F442,Volumenes!$D$19:$G$346,4,FALSE)</f>
        <v>2100</v>
      </c>
      <c r="H442" s="97"/>
      <c r="I442" s="98">
        <f>10/60</f>
        <v>0.16666666666666666</v>
      </c>
      <c r="J442" s="110">
        <f>+I442*(1+Tiempos!$C$17)</f>
        <v>0.17541666666666667</v>
      </c>
      <c r="K442" s="98">
        <f t="shared" ref="K442:K443" si="65">+J442*G442</f>
        <v>368.375</v>
      </c>
      <c r="L442" s="98">
        <f>+K442/Tiempos!$B$11</f>
        <v>0.80081521739130435</v>
      </c>
      <c r="M442" s="238"/>
      <c r="N442" s="238"/>
      <c r="O442" s="238"/>
      <c r="P442" s="238"/>
      <c r="Q442" s="261"/>
    </row>
    <row r="443" spans="1:17" x14ac:dyDescent="0.35">
      <c r="A443" s="81"/>
      <c r="B443" s="81">
        <v>2</v>
      </c>
      <c r="C443" s="83">
        <v>1</v>
      </c>
      <c r="D443" s="83" t="s">
        <v>333</v>
      </c>
      <c r="E443" s="99" t="s">
        <v>681</v>
      </c>
      <c r="F443" s="81" t="str">
        <f>+F442</f>
        <v>PIE_EROS_L1</v>
      </c>
      <c r="G443" s="180">
        <f>VLOOKUP(F443,Volumenes!$D$19:$G$346,4,FALSE)</f>
        <v>2100</v>
      </c>
      <c r="H443" s="97"/>
      <c r="I443" s="98">
        <f>8/60</f>
        <v>0.13333333333333333</v>
      </c>
      <c r="J443" s="110">
        <f>+I443*(1+Tiempos!$C$17)</f>
        <v>0.14033333333333334</v>
      </c>
      <c r="K443" s="98">
        <f t="shared" si="65"/>
        <v>294.7</v>
      </c>
      <c r="L443" s="98">
        <f>+K443/Tiempos!$B$11</f>
        <v>0.64065217391304341</v>
      </c>
      <c r="M443" s="238"/>
      <c r="N443" s="238"/>
      <c r="O443" s="238"/>
      <c r="P443" s="238"/>
      <c r="Q443" s="261"/>
    </row>
    <row r="444" spans="1:17" x14ac:dyDescent="0.35">
      <c r="A444" s="81"/>
      <c r="B444" s="81">
        <v>2</v>
      </c>
      <c r="C444" s="83">
        <v>1</v>
      </c>
      <c r="D444" s="83" t="s">
        <v>333</v>
      </c>
      <c r="E444" s="99" t="s">
        <v>682</v>
      </c>
      <c r="F444" s="81" t="str">
        <f>+F443</f>
        <v>PIE_EROS_L1</v>
      </c>
      <c r="G444" s="180">
        <f>VLOOKUP(F444,Volumenes!$D$19:$G$346,4,FALSE)</f>
        <v>2100</v>
      </c>
      <c r="H444" s="97"/>
      <c r="I444" s="98">
        <f>10/60</f>
        <v>0.16666666666666666</v>
      </c>
      <c r="J444" s="110">
        <f>+I444*(1+Tiempos!$C$17)</f>
        <v>0.17541666666666667</v>
      </c>
      <c r="K444" s="98">
        <f>+J444*G444</f>
        <v>368.375</v>
      </c>
      <c r="L444" s="98">
        <f>+K444/Tiempos!$B$11</f>
        <v>0.80081521739130435</v>
      </c>
      <c r="M444" s="238"/>
      <c r="N444" s="238"/>
      <c r="O444" s="238"/>
      <c r="P444" s="238"/>
      <c r="Q444" s="261"/>
    </row>
    <row r="445" spans="1:17" x14ac:dyDescent="0.35">
      <c r="A445" s="81"/>
      <c r="B445" s="81">
        <v>2</v>
      </c>
      <c r="C445" s="83">
        <v>1</v>
      </c>
      <c r="D445" s="83" t="s">
        <v>46</v>
      </c>
      <c r="E445" s="99" t="s">
        <v>1077</v>
      </c>
      <c r="F445" s="81" t="str">
        <f>+F441</f>
        <v>CAR_SUM_L1</v>
      </c>
      <c r="G445" s="180">
        <f>VLOOKUP(F445,Volumenes!$D$19:$G$346,4,FALSE)</f>
        <v>300</v>
      </c>
      <c r="H445" s="97"/>
      <c r="I445" s="98">
        <f>12/60</f>
        <v>0.2</v>
      </c>
      <c r="J445" s="110">
        <f>+I445*(1+Tiempos!$C$17)</f>
        <v>0.21050000000000002</v>
      </c>
      <c r="K445" s="98">
        <f>+J445*G445</f>
        <v>63.150000000000006</v>
      </c>
      <c r="L445" s="98">
        <f>+K445/Tiempos!$B$11</f>
        <v>0.13728260869565218</v>
      </c>
      <c r="M445" s="238"/>
      <c r="N445" s="238"/>
      <c r="O445" s="238"/>
      <c r="P445" s="238"/>
      <c r="Q445" s="261"/>
    </row>
    <row r="446" spans="1:17" x14ac:dyDescent="0.35">
      <c r="A446" s="75"/>
      <c r="B446" s="75"/>
      <c r="E446" s="104"/>
      <c r="F446" s="75"/>
      <c r="G446" s="108"/>
      <c r="H446" s="105"/>
      <c r="I446" s="106"/>
      <c r="J446" s="107"/>
      <c r="K446" s="109"/>
      <c r="L446" s="98">
        <f>SUM(L441:L445)</f>
        <v>2.4939673913043476</v>
      </c>
      <c r="M446" s="141"/>
      <c r="N446" s="141"/>
      <c r="O446" s="141"/>
      <c r="P446" s="141"/>
      <c r="Q446" s="141"/>
    </row>
    <row r="447" spans="1:17" x14ac:dyDescent="0.35">
      <c r="A447" s="75"/>
      <c r="B447" s="75"/>
      <c r="E447" s="104"/>
      <c r="F447" s="75"/>
      <c r="G447" s="108"/>
      <c r="H447" s="105"/>
      <c r="I447" s="106"/>
      <c r="J447" s="107"/>
      <c r="K447" s="109"/>
      <c r="L447" s="109"/>
      <c r="M447" s="249"/>
      <c r="N447" s="249"/>
      <c r="O447" s="249"/>
      <c r="P447" s="249"/>
      <c r="Q447" s="249"/>
    </row>
    <row r="448" spans="1:17" ht="13.15" x14ac:dyDescent="0.4">
      <c r="A448" s="84" t="s">
        <v>1078</v>
      </c>
      <c r="B448" s="84"/>
      <c r="C448" s="70"/>
      <c r="D448" s="70"/>
      <c r="E448" s="94"/>
      <c r="F448" s="80"/>
      <c r="G448" s="80"/>
      <c r="H448" s="80"/>
      <c r="I448" s="80"/>
      <c r="J448" s="80"/>
      <c r="K448" s="80"/>
      <c r="L448" s="80"/>
    </row>
    <row r="449" spans="1:17" x14ac:dyDescent="0.35">
      <c r="A449" s="81"/>
      <c r="B449" s="81">
        <v>2</v>
      </c>
      <c r="C449" s="83">
        <v>1</v>
      </c>
      <c r="D449" s="83" t="s">
        <v>333</v>
      </c>
      <c r="E449" s="99" t="s">
        <v>679</v>
      </c>
      <c r="F449" s="81" t="str">
        <f>+Volumenes!D162</f>
        <v>CAR_SUM_L2</v>
      </c>
      <c r="G449" s="180">
        <f>VLOOKUP(F449,Volumenes!$D$19:$G$346,4,FALSE)</f>
        <v>80</v>
      </c>
      <c r="H449" s="97"/>
      <c r="I449" s="98">
        <f>10/60</f>
        <v>0.16666666666666666</v>
      </c>
      <c r="J449" s="110">
        <f>+I449*(1+Tiempos!$C$17)</f>
        <v>0.17541666666666667</v>
      </c>
      <c r="K449" s="98">
        <f>+J449*G449</f>
        <v>14.033333333333333</v>
      </c>
      <c r="L449" s="98">
        <f>+K449/Tiempos!$B$11</f>
        <v>3.0507246376811594E-2</v>
      </c>
      <c r="M449" s="238"/>
      <c r="N449" s="238"/>
      <c r="O449" s="238"/>
      <c r="P449" s="238"/>
      <c r="Q449" s="261"/>
    </row>
    <row r="450" spans="1:17" x14ac:dyDescent="0.35">
      <c r="A450" s="81"/>
      <c r="B450" s="81">
        <v>2</v>
      </c>
      <c r="C450" s="83">
        <v>1</v>
      </c>
      <c r="D450" s="83" t="s">
        <v>333</v>
      </c>
      <c r="E450" s="99" t="s">
        <v>680</v>
      </c>
      <c r="F450" s="81" t="str">
        <f>+Volumenes!D153</f>
        <v>PIE_EROS_L2</v>
      </c>
      <c r="G450" s="180">
        <f>VLOOKUP(F450,Volumenes!$D$19:$G$346,4,FALSE)</f>
        <v>720</v>
      </c>
      <c r="H450" s="97"/>
      <c r="I450" s="98">
        <f>10/60</f>
        <v>0.16666666666666666</v>
      </c>
      <c r="J450" s="110">
        <f>+I450*(1+Tiempos!$C$17)</f>
        <v>0.17541666666666667</v>
      </c>
      <c r="K450" s="98">
        <f t="shared" ref="K450:K451" si="66">+J450*G450</f>
        <v>126.3</v>
      </c>
      <c r="L450" s="98">
        <f>+K450/Tiempos!$B$11</f>
        <v>0.27456521739130435</v>
      </c>
      <c r="M450" s="238"/>
      <c r="N450" s="238"/>
      <c r="O450" s="238"/>
      <c r="P450" s="238"/>
      <c r="Q450" s="261"/>
    </row>
    <row r="451" spans="1:17" x14ac:dyDescent="0.35">
      <c r="A451" s="81"/>
      <c r="B451" s="81">
        <v>2</v>
      </c>
      <c r="C451" s="83">
        <v>1</v>
      </c>
      <c r="D451" s="83" t="s">
        <v>333</v>
      </c>
      <c r="E451" s="99" t="s">
        <v>681</v>
      </c>
      <c r="F451" s="81" t="str">
        <f>+F450</f>
        <v>PIE_EROS_L2</v>
      </c>
      <c r="G451" s="180">
        <f>VLOOKUP(F451,Volumenes!$D$19:$G$346,4,FALSE)</f>
        <v>720</v>
      </c>
      <c r="H451" s="97"/>
      <c r="I451" s="98">
        <f>8/60</f>
        <v>0.13333333333333333</v>
      </c>
      <c r="J451" s="110">
        <f>+I451*(1+Tiempos!$C$17)</f>
        <v>0.14033333333333334</v>
      </c>
      <c r="K451" s="98">
        <f t="shared" si="66"/>
        <v>101.04</v>
      </c>
      <c r="L451" s="98">
        <f>+K451/Tiempos!$B$11</f>
        <v>0.21965217391304348</v>
      </c>
      <c r="M451" s="238"/>
      <c r="N451" s="238"/>
      <c r="O451" s="238"/>
      <c r="P451" s="238"/>
      <c r="Q451" s="261"/>
    </row>
    <row r="452" spans="1:17" x14ac:dyDescent="0.35">
      <c r="A452" s="81"/>
      <c r="B452" s="81">
        <v>2</v>
      </c>
      <c r="C452" s="83">
        <v>1</v>
      </c>
      <c r="D452" s="83" t="s">
        <v>333</v>
      </c>
      <c r="E452" s="99" t="s">
        <v>682</v>
      </c>
      <c r="F452" s="81" t="str">
        <f>+F451</f>
        <v>PIE_EROS_L2</v>
      </c>
      <c r="G452" s="180">
        <f>VLOOKUP(F452,Volumenes!$D$19:$G$346,4,FALSE)</f>
        <v>720</v>
      </c>
      <c r="H452" s="97"/>
      <c r="I452" s="98">
        <f>10/60</f>
        <v>0.16666666666666666</v>
      </c>
      <c r="J452" s="110">
        <f>+I452*(1+Tiempos!$C$17)</f>
        <v>0.17541666666666667</v>
      </c>
      <c r="K452" s="98">
        <f>+J452*G452</f>
        <v>126.3</v>
      </c>
      <c r="L452" s="98">
        <f>+K452/Tiempos!$B$11</f>
        <v>0.27456521739130435</v>
      </c>
      <c r="M452" s="238"/>
      <c r="N452" s="238"/>
      <c r="O452" s="238"/>
      <c r="P452" s="238"/>
      <c r="Q452" s="261"/>
    </row>
    <row r="453" spans="1:17" x14ac:dyDescent="0.35">
      <c r="A453" s="81"/>
      <c r="B453" s="81">
        <v>2</v>
      </c>
      <c r="C453" s="83">
        <v>1</v>
      </c>
      <c r="D453" s="83" t="s">
        <v>46</v>
      </c>
      <c r="E453" s="99" t="s">
        <v>1077</v>
      </c>
      <c r="F453" s="81" t="str">
        <f>+F449</f>
        <v>CAR_SUM_L2</v>
      </c>
      <c r="G453" s="180">
        <f>VLOOKUP(F453,Volumenes!$D$19:$G$346,4,FALSE)</f>
        <v>80</v>
      </c>
      <c r="H453" s="97"/>
      <c r="I453" s="98">
        <f>12/60</f>
        <v>0.2</v>
      </c>
      <c r="J453" s="110">
        <f>+I453*(1+Tiempos!$C$17)</f>
        <v>0.21050000000000002</v>
      </c>
      <c r="K453" s="98">
        <f>+J453*G453</f>
        <v>16.840000000000003</v>
      </c>
      <c r="L453" s="98">
        <f>+K453/Tiempos!$B$11</f>
        <v>3.6608695652173923E-2</v>
      </c>
      <c r="M453" s="238"/>
      <c r="N453" s="238"/>
      <c r="O453" s="238"/>
      <c r="P453" s="238"/>
      <c r="Q453" s="261"/>
    </row>
    <row r="454" spans="1:17" x14ac:dyDescent="0.35">
      <c r="A454" s="75"/>
      <c r="B454" s="75"/>
      <c r="E454" s="104"/>
      <c r="F454" s="75"/>
      <c r="G454" s="108"/>
      <c r="H454" s="105"/>
      <c r="I454" s="106"/>
      <c r="J454" s="107"/>
      <c r="K454" s="109"/>
      <c r="L454" s="98">
        <f>SUM(L449:L453)</f>
        <v>0.8358985507246377</v>
      </c>
      <c r="M454" s="141"/>
      <c r="N454" s="141"/>
      <c r="O454" s="141"/>
      <c r="P454" s="141"/>
      <c r="Q454" s="141"/>
    </row>
    <row r="455" spans="1:17" x14ac:dyDescent="0.35">
      <c r="A455" s="75"/>
      <c r="B455" s="75"/>
      <c r="E455" s="104"/>
      <c r="F455" s="75"/>
      <c r="G455" s="108"/>
      <c r="H455" s="105"/>
      <c r="I455" s="106"/>
      <c r="J455" s="107"/>
      <c r="K455" s="109"/>
      <c r="L455" s="109"/>
      <c r="M455" s="249"/>
      <c r="N455" s="249"/>
      <c r="O455" s="249"/>
      <c r="P455" s="249"/>
      <c r="Q455" s="249"/>
    </row>
    <row r="456" spans="1:17" ht="13.15" x14ac:dyDescent="0.4">
      <c r="A456" s="84" t="s">
        <v>1079</v>
      </c>
      <c r="B456" s="84"/>
      <c r="C456" s="70"/>
      <c r="D456" s="70"/>
      <c r="E456" s="94"/>
      <c r="F456" s="80"/>
      <c r="G456" s="80"/>
      <c r="H456" s="80"/>
      <c r="I456" s="80"/>
      <c r="J456" s="80"/>
      <c r="K456" s="80"/>
      <c r="L456" s="80"/>
    </row>
    <row r="457" spans="1:17" x14ac:dyDescent="0.35">
      <c r="A457" s="81"/>
      <c r="B457" s="81">
        <v>2</v>
      </c>
      <c r="C457" s="83">
        <v>1</v>
      </c>
      <c r="D457" s="83" t="s">
        <v>69</v>
      </c>
      <c r="E457" s="99" t="s">
        <v>728</v>
      </c>
      <c r="F457" s="391" t="str">
        <f>+Volumenes!D207</f>
        <v>PIE_SAT</v>
      </c>
      <c r="G457" s="180">
        <f>VLOOKUP(F457,Volumenes!$D$19:$G$346,4,FALSE)</f>
        <v>290</v>
      </c>
      <c r="H457" s="97"/>
      <c r="I457" s="98">
        <f>20/60</f>
        <v>0.33333333333333331</v>
      </c>
      <c r="J457" s="110">
        <f>+I457*(1+Tiempos!$C$17)</f>
        <v>0.35083333333333333</v>
      </c>
      <c r="K457" s="98">
        <f>+J457*G457</f>
        <v>101.74166666666666</v>
      </c>
      <c r="L457" s="98">
        <f>+K457/Tiempos!$B$11</f>
        <v>0.22117753623188405</v>
      </c>
      <c r="M457" s="261">
        <f>+K457/Tiempos!$B$12</f>
        <v>0.11058876811594202</v>
      </c>
      <c r="N457" s="238"/>
      <c r="O457" s="238"/>
      <c r="P457" s="238"/>
      <c r="Q457" s="261"/>
    </row>
    <row r="458" spans="1:17" x14ac:dyDescent="0.35">
      <c r="A458" s="81"/>
      <c r="B458" s="81">
        <v>2</v>
      </c>
      <c r="C458" s="83">
        <v>1</v>
      </c>
      <c r="D458" s="83" t="s">
        <v>69</v>
      </c>
      <c r="E458" s="99" t="s">
        <v>731</v>
      </c>
      <c r="F458" s="391" t="str">
        <f>+Volumenes!D206</f>
        <v>SAT_REC</v>
      </c>
      <c r="G458" s="180">
        <f>VLOOKUP(F458,Volumenes!$D$19:$G$346,4,FALSE)</f>
        <v>2</v>
      </c>
      <c r="H458" s="97"/>
      <c r="I458" s="98">
        <f>15/60</f>
        <v>0.25</v>
      </c>
      <c r="J458" s="110">
        <f>+I458*(1+Tiempos!$C$17)</f>
        <v>0.263125</v>
      </c>
      <c r="K458" s="98">
        <f>+J458*G458</f>
        <v>0.52625</v>
      </c>
      <c r="L458" s="98">
        <f>+K458/Tiempos!$B$11</f>
        <v>1.1440217391304349E-3</v>
      </c>
      <c r="M458" s="261">
        <f>+K458/Tiempos!$B$12</f>
        <v>5.7201086956521743E-4</v>
      </c>
      <c r="N458" s="238"/>
      <c r="O458" s="238"/>
      <c r="P458" s="238"/>
      <c r="Q458" s="261"/>
    </row>
    <row r="459" spans="1:17" x14ac:dyDescent="0.35">
      <c r="A459" s="92"/>
      <c r="B459" s="92">
        <v>2</v>
      </c>
      <c r="C459" s="100">
        <v>1</v>
      </c>
      <c r="D459" s="100" t="s">
        <v>69</v>
      </c>
      <c r="E459" s="101" t="s">
        <v>733</v>
      </c>
      <c r="F459" s="393" t="str">
        <f>+F458</f>
        <v>SAT_REC</v>
      </c>
      <c r="G459" s="155">
        <f>VLOOKUP(F459,Volumenes!$D$19:$G$346,4,FALSE)</f>
        <v>2</v>
      </c>
      <c r="H459" s="102">
        <f>VLOOKUP(F459,Tiempos!$D$42:$F$228,2,FALSE)</f>
        <v>950</v>
      </c>
      <c r="I459" s="103">
        <f>VLOOKUP(F459,Tiempos!$D$42:$F$117,3,FALSE)</f>
        <v>10.756340579710146</v>
      </c>
      <c r="J459" s="111">
        <f>+I459*(1+Tiempos!$C$17)</f>
        <v>11.321048460144929</v>
      </c>
      <c r="K459" s="103">
        <f t="shared" ref="K459:K461" si="67">+J459*G459</f>
        <v>22.642096920289859</v>
      </c>
      <c r="L459" s="103">
        <f>+K459/Tiempos!$B$11</f>
        <v>4.9221949826717085E-2</v>
      </c>
      <c r="M459" s="262">
        <f>+K459/Tiempos!$B$12</f>
        <v>2.4610974913358542E-2</v>
      </c>
      <c r="N459" s="243"/>
      <c r="O459" s="243"/>
      <c r="P459" s="243"/>
      <c r="Q459" s="262"/>
    </row>
    <row r="460" spans="1:17" x14ac:dyDescent="0.35">
      <c r="A460" s="81"/>
      <c r="B460" s="81">
        <v>2</v>
      </c>
      <c r="C460" s="83">
        <v>1</v>
      </c>
      <c r="D460" s="83" t="s">
        <v>69</v>
      </c>
      <c r="E460" s="99" t="s">
        <v>729</v>
      </c>
      <c r="F460" s="391" t="str">
        <f>+Volumenes!D207</f>
        <v>PIE_SAT</v>
      </c>
      <c r="G460" s="180">
        <f>VLOOKUP(F460,Volumenes!$D$19:$G$346,4,FALSE)</f>
        <v>290</v>
      </c>
      <c r="H460" s="97"/>
      <c r="I460" s="98">
        <f>15/60</f>
        <v>0.25</v>
      </c>
      <c r="J460" s="110">
        <f>+I460*(1+Tiempos!$C$17)</f>
        <v>0.263125</v>
      </c>
      <c r="K460" s="98">
        <f t="shared" si="67"/>
        <v>76.306250000000006</v>
      </c>
      <c r="L460" s="98">
        <f>+K460/Tiempos!$B$11</f>
        <v>0.16588315217391306</v>
      </c>
      <c r="M460" s="261">
        <f>+K460/Tiempos!$B$12</f>
        <v>8.2941576086956528E-2</v>
      </c>
      <c r="N460" s="238"/>
      <c r="O460" s="238"/>
      <c r="P460" s="238"/>
      <c r="Q460" s="261"/>
    </row>
    <row r="461" spans="1:17" x14ac:dyDescent="0.35">
      <c r="A461" s="81"/>
      <c r="B461" s="81">
        <v>2</v>
      </c>
      <c r="C461" s="83">
        <v>1</v>
      </c>
      <c r="D461" s="83" t="s">
        <v>69</v>
      </c>
      <c r="E461" s="99" t="s">
        <v>870</v>
      </c>
      <c r="F461" s="391" t="str">
        <f>+Volumenes!D208</f>
        <v>ELI_SAT</v>
      </c>
      <c r="G461" s="180">
        <f>VLOOKUP(F461,Volumenes!$D$19:$G$346,4,FALSE)</f>
        <v>6</v>
      </c>
      <c r="H461" s="97"/>
      <c r="I461" s="98">
        <f>70/60</f>
        <v>1.1666666666666667</v>
      </c>
      <c r="J461" s="110">
        <f>+I461*(1+Tiempos!$C$17)</f>
        <v>1.2279166666666668</v>
      </c>
      <c r="K461" s="98">
        <f t="shared" si="67"/>
        <v>7.3675000000000006</v>
      </c>
      <c r="L461" s="98">
        <f>+K461/Tiempos!$B$11</f>
        <v>1.6016304347826089E-2</v>
      </c>
      <c r="M461" s="261">
        <f>+K461/Tiempos!$B$12</f>
        <v>8.0081521739130447E-3</v>
      </c>
      <c r="N461" s="238"/>
      <c r="O461" s="238"/>
      <c r="P461" s="238"/>
      <c r="Q461" s="261"/>
    </row>
    <row r="462" spans="1:17" x14ac:dyDescent="0.35">
      <c r="A462" s="81"/>
      <c r="B462" s="81">
        <v>2</v>
      </c>
      <c r="C462" s="83">
        <v>1</v>
      </c>
      <c r="D462" s="83" t="s">
        <v>69</v>
      </c>
      <c r="E462" s="99" t="s">
        <v>730</v>
      </c>
      <c r="F462" s="391" t="str">
        <f>+F458</f>
        <v>SAT_REC</v>
      </c>
      <c r="G462" s="180">
        <f>VLOOKUP(F462,Volumenes!$D$19:$G$346,4,FALSE)</f>
        <v>2</v>
      </c>
      <c r="H462" s="97"/>
      <c r="I462" s="98">
        <f>15/60</f>
        <v>0.25</v>
      </c>
      <c r="J462" s="110">
        <f>+I462*(1+Tiempos!$C$17)</f>
        <v>0.263125</v>
      </c>
      <c r="K462" s="98">
        <f>+J462*G462</f>
        <v>0.52625</v>
      </c>
      <c r="L462" s="98">
        <f>+K462/Tiempos!$B$11</f>
        <v>1.1440217391304349E-3</v>
      </c>
      <c r="M462" s="261">
        <f>+K462/Tiempos!$B$12</f>
        <v>5.7201086956521743E-4</v>
      </c>
      <c r="N462" s="238"/>
      <c r="O462" s="238"/>
      <c r="P462" s="238"/>
      <c r="Q462" s="261"/>
    </row>
    <row r="463" spans="1:17" x14ac:dyDescent="0.35">
      <c r="A463" s="75"/>
      <c r="B463" s="75"/>
      <c r="E463" s="104"/>
      <c r="F463" s="75"/>
      <c r="G463" s="108"/>
      <c r="H463" s="105"/>
      <c r="I463" s="106"/>
      <c r="J463" s="107"/>
      <c r="K463" s="109"/>
      <c r="L463" s="98">
        <f>SUM(L457:L462)</f>
        <v>0.45458698605860115</v>
      </c>
      <c r="M463" s="98">
        <f>SUM(M457:M462)</f>
        <v>0.22729349302930058</v>
      </c>
      <c r="N463" s="141"/>
      <c r="O463" s="141"/>
      <c r="P463" s="141"/>
      <c r="Q463" s="141"/>
    </row>
    <row r="464" spans="1:17" x14ac:dyDescent="0.35">
      <c r="A464" s="75"/>
      <c r="B464" s="75"/>
      <c r="E464" s="104"/>
      <c r="F464" s="75"/>
      <c r="G464" s="108"/>
      <c r="H464" s="105"/>
      <c r="I464" s="106"/>
      <c r="J464" s="107"/>
      <c r="K464" s="109"/>
      <c r="L464" s="109"/>
      <c r="M464" s="249"/>
      <c r="N464" s="249"/>
      <c r="O464" s="249"/>
      <c r="P464" s="249"/>
      <c r="Q464" s="249"/>
    </row>
    <row r="465" spans="1:17" ht="13.15" x14ac:dyDescent="0.4">
      <c r="A465" s="84" t="s">
        <v>762</v>
      </c>
      <c r="B465" s="84"/>
      <c r="C465" s="70"/>
      <c r="D465" s="70"/>
      <c r="E465" s="94"/>
      <c r="F465" s="80"/>
      <c r="G465" s="80"/>
      <c r="H465" s="80"/>
      <c r="I465" s="80"/>
      <c r="J465" s="80"/>
      <c r="K465" s="80"/>
      <c r="L465" s="80"/>
    </row>
    <row r="466" spans="1:17" x14ac:dyDescent="0.35">
      <c r="A466" s="92"/>
      <c r="B466" s="92">
        <v>2</v>
      </c>
      <c r="C466" s="100">
        <v>1</v>
      </c>
      <c r="D466" s="100" t="s">
        <v>69</v>
      </c>
      <c r="E466" s="101" t="s">
        <v>753</v>
      </c>
      <c r="F466" s="393" t="str">
        <f>+Volumenes!D212</f>
        <v>REC_CAR</v>
      </c>
      <c r="G466" s="155">
        <f>VLOOKUP(F466,Volumenes!$D$19:$G$346,4,FALSE)</f>
        <v>40</v>
      </c>
      <c r="H466" s="102">
        <v>40</v>
      </c>
      <c r="I466" s="103">
        <f>+(H466/Tiempos!B29)/60</f>
        <v>0.34188034188034189</v>
      </c>
      <c r="J466" s="111">
        <f>+I466*(1+Tiempos!$C$17)</f>
        <v>0.35982905982905983</v>
      </c>
      <c r="K466" s="103">
        <f>+J466*G466</f>
        <v>14.393162393162394</v>
      </c>
      <c r="L466" s="103">
        <f>+K466/Tiempos!$B$11</f>
        <v>3.1289483463396509E-2</v>
      </c>
      <c r="M466" s="262">
        <f>+K466/Tiempos!$B$12</f>
        <v>1.5644741731698254E-2</v>
      </c>
      <c r="N466" s="243"/>
      <c r="O466" s="243"/>
      <c r="P466" s="243"/>
      <c r="Q466" s="262"/>
    </row>
    <row r="467" spans="1:17" x14ac:dyDescent="0.35">
      <c r="A467" s="81"/>
      <c r="B467" s="81">
        <v>2</v>
      </c>
      <c r="C467" s="83">
        <v>1</v>
      </c>
      <c r="D467" s="83" t="s">
        <v>69</v>
      </c>
      <c r="E467" s="99" t="s">
        <v>754</v>
      </c>
      <c r="F467" s="391" t="str">
        <f>+F466</f>
        <v>REC_CAR</v>
      </c>
      <c r="G467" s="180">
        <f>VLOOKUP(F467,Volumenes!$D$19:$G$346,4,FALSE)</f>
        <v>40</v>
      </c>
      <c r="H467" s="97"/>
      <c r="I467" s="98">
        <f>20/60</f>
        <v>0.33333333333333331</v>
      </c>
      <c r="J467" s="110">
        <f>+I467*(1+Tiempos!$C$17)</f>
        <v>0.35083333333333333</v>
      </c>
      <c r="K467" s="98">
        <f>+J467*G467</f>
        <v>14.033333333333333</v>
      </c>
      <c r="L467" s="98">
        <f>+K467/Tiempos!$B$11</f>
        <v>3.0507246376811594E-2</v>
      </c>
      <c r="M467" s="261">
        <f>+K467/Tiempos!$B$12</f>
        <v>1.5253623188405797E-2</v>
      </c>
      <c r="N467" s="238"/>
      <c r="O467" s="238"/>
      <c r="P467" s="238"/>
      <c r="Q467" s="261"/>
    </row>
    <row r="468" spans="1:17" x14ac:dyDescent="0.35">
      <c r="A468" s="92"/>
      <c r="B468" s="92">
        <v>2</v>
      </c>
      <c r="C468" s="100">
        <v>1</v>
      </c>
      <c r="D468" s="100" t="s">
        <v>69</v>
      </c>
      <c r="E468" s="101" t="s">
        <v>755</v>
      </c>
      <c r="F468" s="393" t="str">
        <f>+F467</f>
        <v>REC_CAR</v>
      </c>
      <c r="G468" s="155">
        <f>VLOOKUP(F468,Volumenes!$D$19:$G$346,4,FALSE)</f>
        <v>40</v>
      </c>
      <c r="H468" s="102">
        <f>VLOOKUP(F468,Tiempos!$D$42:$F$228,2,FALSE)</f>
        <v>340</v>
      </c>
      <c r="I468" s="103">
        <f>VLOOKUP(F468,Tiempos!$D$42:$F$117,3,FALSE)</f>
        <v>2.9059829059829059</v>
      </c>
      <c r="J468" s="111">
        <f>+I468*(1+Tiempos!$C$17)</f>
        <v>3.0585470085470083</v>
      </c>
      <c r="K468" s="103">
        <f t="shared" ref="K468:K469" si="68">+J468*G468</f>
        <v>122.34188034188034</v>
      </c>
      <c r="L468" s="103">
        <f>+K468/Tiempos!$B$11</f>
        <v>0.26596060943887029</v>
      </c>
      <c r="M468" s="262">
        <f>+K468/Tiempos!$B$12</f>
        <v>0.13298030471943514</v>
      </c>
      <c r="N468" s="243"/>
      <c r="O468" s="243"/>
      <c r="P468" s="243"/>
      <c r="Q468" s="262"/>
    </row>
    <row r="469" spans="1:17" x14ac:dyDescent="0.35">
      <c r="A469" s="81"/>
      <c r="B469" s="81">
        <v>2</v>
      </c>
      <c r="C469" s="83">
        <v>1</v>
      </c>
      <c r="D469" s="83" t="s">
        <v>69</v>
      </c>
      <c r="E469" s="99" t="s">
        <v>756</v>
      </c>
      <c r="F469" s="391" t="str">
        <f>+F468</f>
        <v>REC_CAR</v>
      </c>
      <c r="G469" s="180">
        <f>VLOOKUP(F469,Volumenes!$D$19:$G$346,4,FALSE)</f>
        <v>40</v>
      </c>
      <c r="H469" s="97"/>
      <c r="I469" s="98">
        <f>120/60</f>
        <v>2</v>
      </c>
      <c r="J469" s="110">
        <f>+I469*(1+Tiempos!$C$17)</f>
        <v>2.105</v>
      </c>
      <c r="K469" s="98">
        <f t="shared" si="68"/>
        <v>84.2</v>
      </c>
      <c r="L469" s="98">
        <f>+K469/Tiempos!$B$11</f>
        <v>0.18304347826086956</v>
      </c>
      <c r="M469" s="261">
        <f>+K469/Tiempos!$B$12</f>
        <v>9.1521739130434779E-2</v>
      </c>
      <c r="N469" s="238"/>
      <c r="O469" s="238"/>
      <c r="P469" s="238"/>
      <c r="Q469" s="261"/>
    </row>
    <row r="470" spans="1:17" x14ac:dyDescent="0.35">
      <c r="A470" s="81"/>
      <c r="B470" s="81">
        <v>2</v>
      </c>
      <c r="C470" s="83">
        <v>1</v>
      </c>
      <c r="D470" s="83" t="s">
        <v>69</v>
      </c>
      <c r="E470" s="99" t="s">
        <v>757</v>
      </c>
      <c r="F470" s="391" t="str">
        <f>+F469</f>
        <v>REC_CAR</v>
      </c>
      <c r="G470" s="180">
        <f>VLOOKUP(F470,Volumenes!$D$19:$G$346,4,FALSE)</f>
        <v>40</v>
      </c>
      <c r="H470" s="97"/>
      <c r="I470" s="98">
        <f>30/60</f>
        <v>0.5</v>
      </c>
      <c r="J470" s="110">
        <f>+I470*(1+Tiempos!$C$17)</f>
        <v>0.52625</v>
      </c>
      <c r="K470" s="98">
        <f>+J470*G470</f>
        <v>21.05</v>
      </c>
      <c r="L470" s="98">
        <f>+K470/Tiempos!$B$11</f>
        <v>4.5760869565217389E-2</v>
      </c>
      <c r="M470" s="261">
        <f>+K470/Tiempos!$B$12</f>
        <v>2.2880434782608695E-2</v>
      </c>
      <c r="N470" s="238"/>
      <c r="O470" s="238"/>
      <c r="P470" s="238"/>
      <c r="Q470" s="261"/>
    </row>
    <row r="471" spans="1:17" x14ac:dyDescent="0.35">
      <c r="A471" s="92"/>
      <c r="B471" s="92">
        <v>2</v>
      </c>
      <c r="C471" s="100">
        <v>1</v>
      </c>
      <c r="D471" s="100" t="s">
        <v>69</v>
      </c>
      <c r="E471" s="101" t="s">
        <v>802</v>
      </c>
      <c r="F471" s="393" t="str">
        <f>+Volumenes!D213</f>
        <v>CAR_HAR</v>
      </c>
      <c r="G471" s="155">
        <f>VLOOKUP(F471,Volumenes!$D$19:$G$346,4,FALSE)</f>
        <v>4</v>
      </c>
      <c r="H471" s="102">
        <v>80</v>
      </c>
      <c r="I471" s="103">
        <f>(H471/Tiempos!B29)/60</f>
        <v>0.68376068376068377</v>
      </c>
      <c r="J471" s="111">
        <f>+I471*(1+Tiempos!$C$17)</f>
        <v>0.71965811965811965</v>
      </c>
      <c r="K471" s="103">
        <f t="shared" ref="K471:K475" si="69">+J471*G471</f>
        <v>2.8786324786324786</v>
      </c>
      <c r="L471" s="103">
        <f>+K471/Tiempos!$B$11</f>
        <v>6.2578966926793017E-3</v>
      </c>
      <c r="M471" s="262">
        <f>+K471/Tiempos!$B$12</f>
        <v>3.1289483463396509E-3</v>
      </c>
      <c r="N471" s="243"/>
      <c r="O471" s="243"/>
      <c r="P471" s="243"/>
      <c r="Q471" s="262"/>
    </row>
    <row r="472" spans="1:17" x14ac:dyDescent="0.35">
      <c r="A472" s="81"/>
      <c r="B472" s="81">
        <v>2</v>
      </c>
      <c r="C472" s="83">
        <v>1</v>
      </c>
      <c r="D472" s="83" t="s">
        <v>69</v>
      </c>
      <c r="E472" s="99" t="s">
        <v>803</v>
      </c>
      <c r="F472" s="391" t="str">
        <f t="shared" ref="F472" si="70">+F471</f>
        <v>CAR_HAR</v>
      </c>
      <c r="G472" s="180">
        <f>VLOOKUP(F472,Volumenes!$D$19:$G$346,4,FALSE)</f>
        <v>4</v>
      </c>
      <c r="H472" s="97"/>
      <c r="I472" s="98">
        <f>25/60</f>
        <v>0.41666666666666669</v>
      </c>
      <c r="J472" s="110">
        <f>+I472*(1+Tiempos!$C$17)</f>
        <v>0.43854166666666666</v>
      </c>
      <c r="K472" s="98">
        <f t="shared" si="69"/>
        <v>1.7541666666666667</v>
      </c>
      <c r="L472" s="98">
        <f>+K472/Tiempos!$B$11</f>
        <v>3.8134057971014493E-3</v>
      </c>
      <c r="M472" s="261">
        <f>+K472/Tiempos!$B$12</f>
        <v>1.9067028985507246E-3</v>
      </c>
      <c r="N472" s="238"/>
      <c r="O472" s="238"/>
      <c r="P472" s="238"/>
      <c r="Q472" s="261"/>
    </row>
    <row r="473" spans="1:17" x14ac:dyDescent="0.35">
      <c r="A473" s="92"/>
      <c r="B473" s="92">
        <v>2</v>
      </c>
      <c r="C473" s="100">
        <v>1</v>
      </c>
      <c r="D473" s="100" t="s">
        <v>69</v>
      </c>
      <c r="E473" s="101" t="s">
        <v>807</v>
      </c>
      <c r="F473" s="393" t="str">
        <f>+F472</f>
        <v>CAR_HAR</v>
      </c>
      <c r="G473" s="155">
        <f>VLOOKUP(F473,Volumenes!$D$19:$G$346,4,FALSE)</f>
        <v>4</v>
      </c>
      <c r="H473" s="102">
        <f>VLOOKUP(F473,Tiempos!$D$42:$F$228,2,FALSE)</f>
        <v>220</v>
      </c>
      <c r="I473" s="103">
        <f>VLOOKUP(F473,Tiempos!$D$42:$F$117,3,FALSE)</f>
        <v>1.8803418803418803</v>
      </c>
      <c r="J473" s="111">
        <f>+I473*(1+Tiempos!$C$17)</f>
        <v>1.9790598290598291</v>
      </c>
      <c r="K473" s="103">
        <f t="shared" si="69"/>
        <v>7.9162393162393165</v>
      </c>
      <c r="L473" s="103">
        <f>+K473/Tiempos!$B$11</f>
        <v>1.720921590486808E-2</v>
      </c>
      <c r="M473" s="262">
        <f>+K473/Tiempos!$B$12</f>
        <v>8.6046079524340398E-3</v>
      </c>
      <c r="N473" s="243"/>
      <c r="O473" s="243"/>
      <c r="P473" s="243"/>
      <c r="Q473" s="262"/>
    </row>
    <row r="474" spans="1:17" x14ac:dyDescent="0.35">
      <c r="A474" s="81"/>
      <c r="B474" s="81">
        <v>2</v>
      </c>
      <c r="C474" s="83">
        <v>1</v>
      </c>
      <c r="D474" s="83" t="s">
        <v>69</v>
      </c>
      <c r="E474" s="99" t="s">
        <v>756</v>
      </c>
      <c r="F474" s="391" t="str">
        <f>+F473</f>
        <v>CAR_HAR</v>
      </c>
      <c r="G474" s="180">
        <f>VLOOKUP(F474,Volumenes!$D$19:$G$346,4,FALSE)</f>
        <v>4</v>
      </c>
      <c r="H474" s="97"/>
      <c r="I474" s="98">
        <v>2</v>
      </c>
      <c r="J474" s="110">
        <f>+I474*(1+Tiempos!$C$17)</f>
        <v>2.105</v>
      </c>
      <c r="K474" s="98">
        <f t="shared" si="69"/>
        <v>8.42</v>
      </c>
      <c r="L474" s="98">
        <f>+K474/Tiempos!$B$11</f>
        <v>1.8304347826086958E-2</v>
      </c>
      <c r="M474" s="261">
        <f>+K474/Tiempos!$B$12</f>
        <v>9.1521739130434789E-3</v>
      </c>
      <c r="N474" s="238"/>
      <c r="O474" s="238"/>
      <c r="P474" s="238"/>
      <c r="Q474" s="261"/>
    </row>
    <row r="475" spans="1:17" x14ac:dyDescent="0.35">
      <c r="A475" s="92"/>
      <c r="B475" s="92">
        <v>2</v>
      </c>
      <c r="C475" s="100">
        <v>1</v>
      </c>
      <c r="D475" s="100" t="s">
        <v>69</v>
      </c>
      <c r="E475" s="101" t="s">
        <v>804</v>
      </c>
      <c r="F475" s="393" t="str">
        <f>+F474</f>
        <v>CAR_HAR</v>
      </c>
      <c r="G475" s="155">
        <f>VLOOKUP(F475,Volumenes!$D$19:$G$346,4,FALSE)</f>
        <v>4</v>
      </c>
      <c r="H475" s="102">
        <v>180</v>
      </c>
      <c r="I475" s="103">
        <f>(H475/Tiempos!B29)/60</f>
        <v>1.5384615384615385</v>
      </c>
      <c r="J475" s="111">
        <f>+I475*(1+Tiempos!$C$17)</f>
        <v>1.6192307692307693</v>
      </c>
      <c r="K475" s="103">
        <f t="shared" si="69"/>
        <v>6.476923076923077</v>
      </c>
      <c r="L475" s="103">
        <f>+K475/Tiempos!$B$11</f>
        <v>1.4080267558528429E-2</v>
      </c>
      <c r="M475" s="262">
        <f>+K475/Tiempos!$B$12</f>
        <v>7.0401337792642144E-3</v>
      </c>
      <c r="N475" s="243"/>
      <c r="O475" s="243"/>
      <c r="P475" s="243"/>
      <c r="Q475" s="262"/>
    </row>
    <row r="476" spans="1:17" x14ac:dyDescent="0.35">
      <c r="A476" s="75"/>
      <c r="B476" s="75"/>
      <c r="E476" s="104"/>
      <c r="F476" s="75"/>
      <c r="G476" s="108"/>
      <c r="H476" s="105"/>
      <c r="I476" s="106"/>
      <c r="J476" s="107"/>
      <c r="K476" s="109"/>
      <c r="L476" s="98">
        <f>SUM(L466:L475)</f>
        <v>0.61622682088442959</v>
      </c>
      <c r="M476" s="98">
        <f>SUM(M466:M475)</f>
        <v>0.3081134104422148</v>
      </c>
      <c r="N476" s="141"/>
      <c r="O476" s="141"/>
      <c r="P476" s="141"/>
      <c r="Q476" s="141"/>
    </row>
    <row r="477" spans="1:17" x14ac:dyDescent="0.35">
      <c r="A477" s="75"/>
      <c r="B477" s="75"/>
      <c r="E477" s="104"/>
      <c r="F477" s="75"/>
      <c r="G477" s="108"/>
      <c r="H477" s="105"/>
      <c r="I477" s="106"/>
      <c r="J477" s="107"/>
      <c r="K477" s="109"/>
      <c r="L477" s="109"/>
      <c r="M477" s="109"/>
      <c r="N477" s="249"/>
      <c r="O477" s="249"/>
      <c r="P477" s="249"/>
      <c r="Q477" s="249"/>
    </row>
    <row r="478" spans="1:17" ht="13.15" x14ac:dyDescent="0.4">
      <c r="A478" s="84" t="s">
        <v>801</v>
      </c>
      <c r="B478" s="84"/>
      <c r="C478" s="70"/>
      <c r="D478" s="70"/>
      <c r="E478" s="94"/>
      <c r="F478" s="80"/>
      <c r="G478" s="80"/>
      <c r="H478" s="80"/>
      <c r="I478" s="80"/>
      <c r="J478" s="80"/>
      <c r="K478" s="80"/>
      <c r="L478" s="80"/>
    </row>
    <row r="479" spans="1:17" x14ac:dyDescent="0.35">
      <c r="A479" s="81"/>
      <c r="B479" s="81">
        <v>2</v>
      </c>
      <c r="C479" s="83">
        <v>1</v>
      </c>
      <c r="D479" s="83" t="s">
        <v>69</v>
      </c>
      <c r="E479" s="99" t="s">
        <v>763</v>
      </c>
      <c r="F479" s="391" t="str">
        <f>+Volumenes!D24</f>
        <v>MAQ_ELE</v>
      </c>
      <c r="G479" s="180">
        <f>VLOOKUP(F479,Volumenes!$D$19:$G$346,4,FALSE)</f>
        <v>21</v>
      </c>
      <c r="H479" s="97"/>
      <c r="I479" s="98">
        <f>30/60</f>
        <v>0.5</v>
      </c>
      <c r="J479" s="110">
        <f>+I479*(1+Tiempos!$C$17)</f>
        <v>0.52625</v>
      </c>
      <c r="K479" s="98">
        <f>+J479*G479</f>
        <v>11.05125</v>
      </c>
      <c r="L479" s="98">
        <f>+K479/Tiempos!$B$11</f>
        <v>2.4024456521739131E-2</v>
      </c>
      <c r="M479" s="261">
        <f>+K479/Tiempos!$B$12</f>
        <v>1.2012228260869565E-2</v>
      </c>
      <c r="N479" s="238"/>
      <c r="O479" s="238"/>
      <c r="P479" s="238"/>
      <c r="Q479" s="261"/>
    </row>
    <row r="480" spans="1:17" x14ac:dyDescent="0.35">
      <c r="A480" s="92"/>
      <c r="B480" s="92">
        <v>2</v>
      </c>
      <c r="C480" s="100">
        <v>1</v>
      </c>
      <c r="D480" s="100" t="s">
        <v>69</v>
      </c>
      <c r="E480" s="101" t="s">
        <v>764</v>
      </c>
      <c r="F480" s="393" t="str">
        <f>+F479</f>
        <v>MAQ_ELE</v>
      </c>
      <c r="G480" s="155">
        <f>VLOOKUP(F480,Volumenes!$D$19:$G$346,4,FALSE)</f>
        <v>21</v>
      </c>
      <c r="H480" s="102">
        <v>60</v>
      </c>
      <c r="I480" s="103">
        <f>(H480/Tiempos!$B$29)/60</f>
        <v>0.51282051282051289</v>
      </c>
      <c r="J480" s="111">
        <f>+I480*(1+Tiempos!$C$17)</f>
        <v>0.53974358974358982</v>
      </c>
      <c r="K480" s="103">
        <f t="shared" ref="K480:K481" si="71">+J480*G480</f>
        <v>11.334615384615386</v>
      </c>
      <c r="L480" s="103">
        <f>+K480/Tiempos!$B$11</f>
        <v>2.4640468227424751E-2</v>
      </c>
      <c r="M480" s="262">
        <f>+K480/Tiempos!$B$12</f>
        <v>1.2320234113712376E-2</v>
      </c>
      <c r="N480" s="243"/>
      <c r="O480" s="243"/>
      <c r="P480" s="243"/>
      <c r="Q480" s="262"/>
    </row>
    <row r="481" spans="1:17" x14ac:dyDescent="0.35">
      <c r="A481" s="92"/>
      <c r="B481" s="92">
        <v>2</v>
      </c>
      <c r="C481" s="100">
        <v>1</v>
      </c>
      <c r="D481" s="100" t="s">
        <v>69</v>
      </c>
      <c r="E481" s="101" t="s">
        <v>765</v>
      </c>
      <c r="F481" s="393" t="str">
        <f>+F480</f>
        <v>MAQ_ELE</v>
      </c>
      <c r="G481" s="155">
        <f>VLOOKUP(F481,Volumenes!$D$19:$G$346,4,FALSE)</f>
        <v>21</v>
      </c>
      <c r="H481" s="102">
        <f>VLOOKUP(F481,Tiempos!$D$42:$F$228,2,FALSE)</f>
        <v>37</v>
      </c>
      <c r="I481" s="103">
        <f>VLOOKUP(F481,Tiempos!$D$42:$F$117,3,FALSE)</f>
        <v>0.31623931623931623</v>
      </c>
      <c r="J481" s="111">
        <f>+I481*(1+Tiempos!$C$17)</f>
        <v>0.33284188034188034</v>
      </c>
      <c r="K481" s="103">
        <f t="shared" si="71"/>
        <v>6.9896794871794867</v>
      </c>
      <c r="L481" s="103">
        <f>+K481/Tiempos!$B$11</f>
        <v>1.5194955406911927E-2</v>
      </c>
      <c r="M481" s="262">
        <f>+K481/Tiempos!$B$12</f>
        <v>7.5974777034559637E-3</v>
      </c>
      <c r="N481" s="243"/>
      <c r="O481" s="243"/>
      <c r="P481" s="243"/>
      <c r="Q481" s="262"/>
    </row>
    <row r="482" spans="1:17" x14ac:dyDescent="0.35">
      <c r="A482" s="81"/>
      <c r="B482" s="81">
        <v>2</v>
      </c>
      <c r="C482" s="83">
        <v>1</v>
      </c>
      <c r="D482" s="83" t="s">
        <v>69</v>
      </c>
      <c r="E482" s="99" t="s">
        <v>766</v>
      </c>
      <c r="F482" s="391" t="str">
        <f>+F481</f>
        <v>MAQ_ELE</v>
      </c>
      <c r="G482" s="180">
        <f>VLOOKUP(F482,Volumenes!$D$19:$G$346,4,FALSE)</f>
        <v>21</v>
      </c>
      <c r="H482" s="97"/>
      <c r="I482" s="98">
        <f>35/60</f>
        <v>0.58333333333333337</v>
      </c>
      <c r="J482" s="110">
        <f>+I482*(1+Tiempos!$C$17)</f>
        <v>0.61395833333333338</v>
      </c>
      <c r="K482" s="98">
        <f>+J482*G482</f>
        <v>12.893125000000001</v>
      </c>
      <c r="L482" s="98">
        <f>+K482/Tiempos!$B$11</f>
        <v>2.8028532608695655E-2</v>
      </c>
      <c r="M482" s="261">
        <f>+K482/Tiempos!$B$12</f>
        <v>1.4014266304347827E-2</v>
      </c>
      <c r="N482" s="238"/>
      <c r="O482" s="238"/>
      <c r="P482" s="238"/>
      <c r="Q482" s="261"/>
    </row>
    <row r="483" spans="1:17" x14ac:dyDescent="0.35">
      <c r="A483" s="75"/>
      <c r="B483" s="75"/>
      <c r="E483" s="104"/>
      <c r="F483" s="75"/>
      <c r="G483" s="108"/>
      <c r="H483" s="105"/>
      <c r="I483" s="106"/>
      <c r="J483" s="107"/>
      <c r="K483" s="109"/>
      <c r="L483" s="98">
        <f>SUM(L479:L482)</f>
        <v>9.1888412764771471E-2</v>
      </c>
      <c r="M483" s="98">
        <f>SUM(M479:M482)</f>
        <v>4.5944206382385736E-2</v>
      </c>
      <c r="N483" s="141"/>
      <c r="O483" s="141"/>
      <c r="P483" s="141"/>
      <c r="Q483" s="141"/>
    </row>
    <row r="484" spans="1:17" x14ac:dyDescent="0.35">
      <c r="A484" s="75"/>
      <c r="B484" s="75"/>
      <c r="E484" s="104"/>
      <c r="F484" s="75"/>
      <c r="G484" s="108"/>
      <c r="H484" s="105"/>
      <c r="I484" s="106"/>
      <c r="J484" s="107"/>
      <c r="K484" s="109"/>
      <c r="L484" s="109"/>
      <c r="M484" s="109"/>
      <c r="N484" s="249"/>
      <c r="O484" s="249"/>
      <c r="P484" s="249"/>
      <c r="Q484" s="249"/>
    </row>
    <row r="485" spans="1:17" ht="13.15" x14ac:dyDescent="0.4">
      <c r="A485" s="84" t="s">
        <v>848</v>
      </c>
      <c r="B485" s="84"/>
      <c r="C485" s="70"/>
      <c r="D485" s="70"/>
      <c r="E485" s="94"/>
      <c r="F485" s="80"/>
      <c r="G485" s="80"/>
      <c r="H485" s="80"/>
      <c r="I485" s="80"/>
      <c r="J485" s="80"/>
      <c r="K485" s="80"/>
      <c r="L485" s="80"/>
    </row>
    <row r="486" spans="1:17" x14ac:dyDescent="0.35">
      <c r="A486" s="81"/>
      <c r="B486" s="81">
        <v>2</v>
      </c>
      <c r="C486" s="83">
        <v>1</v>
      </c>
      <c r="D486" s="83" t="s">
        <v>69</v>
      </c>
      <c r="E486" s="99" t="s">
        <v>763</v>
      </c>
      <c r="F486" s="391" t="str">
        <f>+Volumenes!D220</f>
        <v>CAL_L2</v>
      </c>
      <c r="G486" s="180">
        <f>VLOOKUP(F486,Volumenes!$D$19:$G$346,4,FALSE)</f>
        <v>1</v>
      </c>
      <c r="H486" s="97"/>
      <c r="I486" s="98">
        <f>30/60</f>
        <v>0.5</v>
      </c>
      <c r="J486" s="110">
        <f>+I486*(1+Tiempos!$C$17)</f>
        <v>0.52625</v>
      </c>
      <c r="K486" s="98">
        <f>+J486*G486</f>
        <v>0.52625</v>
      </c>
      <c r="L486" s="98">
        <f>+K486/Tiempos!$B$11</f>
        <v>1.1440217391304349E-3</v>
      </c>
      <c r="M486" s="261">
        <f>+K486/Tiempos!$B$12</f>
        <v>5.7201086956521743E-4</v>
      </c>
      <c r="N486" s="238"/>
      <c r="O486" s="238"/>
      <c r="P486" s="238"/>
      <c r="Q486" s="261"/>
    </row>
    <row r="487" spans="1:17" x14ac:dyDescent="0.35">
      <c r="A487" s="92"/>
      <c r="B487" s="92">
        <v>2</v>
      </c>
      <c r="C487" s="100">
        <v>1</v>
      </c>
      <c r="D487" s="100" t="s">
        <v>69</v>
      </c>
      <c r="E487" s="101" t="s">
        <v>764</v>
      </c>
      <c r="F487" s="393" t="str">
        <f>+F486</f>
        <v>CAL_L2</v>
      </c>
      <c r="G487" s="155">
        <f>VLOOKUP(F487,Volumenes!$D$19:$G$346,4,FALSE)</f>
        <v>1</v>
      </c>
      <c r="H487" s="102">
        <v>60</v>
      </c>
      <c r="I487" s="103">
        <f>(H487/Tiempos!$B$29)/60</f>
        <v>0.51282051282051289</v>
      </c>
      <c r="J487" s="111">
        <f>+I487*(1+Tiempos!$C$17)</f>
        <v>0.53974358974358982</v>
      </c>
      <c r="K487" s="103">
        <f t="shared" ref="K487:K488" si="72">+J487*G487</f>
        <v>0.53974358974358982</v>
      </c>
      <c r="L487" s="103">
        <f>+K487/Tiempos!$B$11</f>
        <v>1.1733556298773693E-3</v>
      </c>
      <c r="M487" s="262">
        <f>+K487/Tiempos!$B$12</f>
        <v>5.8667781493868464E-4</v>
      </c>
      <c r="N487" s="243"/>
      <c r="O487" s="243"/>
      <c r="P487" s="243"/>
      <c r="Q487" s="262"/>
    </row>
    <row r="488" spans="1:17" x14ac:dyDescent="0.35">
      <c r="A488" s="92"/>
      <c r="B488" s="92">
        <v>2</v>
      </c>
      <c r="C488" s="100">
        <v>1</v>
      </c>
      <c r="D488" s="100" t="s">
        <v>69</v>
      </c>
      <c r="E488" s="101" t="s">
        <v>765</v>
      </c>
      <c r="F488" s="393" t="str">
        <f>+F487</f>
        <v>CAL_L2</v>
      </c>
      <c r="G488" s="155">
        <f>VLOOKUP(F488,Volumenes!$D$19:$G$346,4,FALSE)</f>
        <v>1</v>
      </c>
      <c r="H488" s="102">
        <v>37</v>
      </c>
      <c r="I488" s="103">
        <f>(H488/Tiempos!$B$29)/60</f>
        <v>0.31623931623931623</v>
      </c>
      <c r="J488" s="111">
        <f>+I488*(1+Tiempos!$C$17)</f>
        <v>0.33284188034188034</v>
      </c>
      <c r="K488" s="103">
        <f t="shared" si="72"/>
        <v>0.33284188034188034</v>
      </c>
      <c r="L488" s="103">
        <f>+K488/Tiempos!$B$11</f>
        <v>7.235693050910442E-4</v>
      </c>
      <c r="M488" s="262">
        <f>+K488/Tiempos!$B$12</f>
        <v>3.617846525455221E-4</v>
      </c>
      <c r="N488" s="243"/>
      <c r="O488" s="243"/>
      <c r="P488" s="243"/>
      <c r="Q488" s="262"/>
    </row>
    <row r="489" spans="1:17" x14ac:dyDescent="0.35">
      <c r="A489" s="81"/>
      <c r="B489" s="81">
        <v>2</v>
      </c>
      <c r="C489" s="83">
        <v>1</v>
      </c>
      <c r="D489" s="83" t="s">
        <v>69</v>
      </c>
      <c r="E489" s="99" t="s">
        <v>766</v>
      </c>
      <c r="F489" s="391" t="str">
        <f>+F488</f>
        <v>CAL_L2</v>
      </c>
      <c r="G489" s="180">
        <f>VLOOKUP(F489,Volumenes!$D$19:$G$346,4,FALSE)</f>
        <v>1</v>
      </c>
      <c r="H489" s="97"/>
      <c r="I489" s="98">
        <f>30/60</f>
        <v>0.5</v>
      </c>
      <c r="J489" s="110">
        <f>+I489*(1+Tiempos!$C$17)</f>
        <v>0.52625</v>
      </c>
      <c r="K489" s="98">
        <f>+J489*G489</f>
        <v>0.52625</v>
      </c>
      <c r="L489" s="98">
        <f>+K489/Tiempos!$B$11</f>
        <v>1.1440217391304349E-3</v>
      </c>
      <c r="M489" s="261">
        <f>+K489/Tiempos!$B$12</f>
        <v>5.7201086956521743E-4</v>
      </c>
      <c r="N489" s="238"/>
      <c r="O489" s="238"/>
      <c r="P489" s="238"/>
      <c r="Q489" s="261"/>
    </row>
    <row r="490" spans="1:17" x14ac:dyDescent="0.35">
      <c r="A490" s="75"/>
      <c r="B490" s="75"/>
      <c r="E490" s="104"/>
      <c r="F490" s="75"/>
      <c r="G490" s="108"/>
      <c r="H490" s="105"/>
      <c r="I490" s="106"/>
      <c r="J490" s="107"/>
      <c r="K490" s="109"/>
      <c r="L490" s="425">
        <f>SUM(L486:L489)</f>
        <v>4.1849684132292831E-3</v>
      </c>
      <c r="M490" s="425">
        <f>SUM(M486:M489)</f>
        <v>2.0924842066146416E-3</v>
      </c>
      <c r="N490" s="141"/>
      <c r="O490" s="141"/>
      <c r="P490" s="141"/>
      <c r="Q490" s="141"/>
    </row>
    <row r="491" spans="1:17" x14ac:dyDescent="0.35">
      <c r="A491" s="75"/>
      <c r="B491" s="75"/>
      <c r="E491" s="104"/>
      <c r="F491" s="75"/>
      <c r="G491" s="108"/>
      <c r="H491" s="105"/>
      <c r="I491" s="109"/>
      <c r="J491" s="107"/>
      <c r="K491" s="109"/>
      <c r="L491" s="109"/>
      <c r="M491" s="109"/>
      <c r="N491" s="249"/>
      <c r="O491" s="249"/>
      <c r="P491" s="249"/>
      <c r="Q491" s="249"/>
    </row>
    <row r="492" spans="1:17" ht="13.15" x14ac:dyDescent="0.4">
      <c r="A492" s="84" t="s">
        <v>752</v>
      </c>
      <c r="B492" s="84"/>
      <c r="C492" s="70"/>
      <c r="D492" s="70"/>
      <c r="E492" s="94"/>
      <c r="F492" s="80"/>
      <c r="G492" s="80"/>
      <c r="H492" s="80"/>
      <c r="I492" s="80"/>
      <c r="J492" s="80"/>
      <c r="K492" s="80"/>
      <c r="L492" s="80"/>
    </row>
    <row r="493" spans="1:17" x14ac:dyDescent="0.35">
      <c r="A493" s="81"/>
      <c r="B493" s="81">
        <v>2</v>
      </c>
      <c r="C493" s="83">
        <v>1</v>
      </c>
      <c r="D493" s="83" t="s">
        <v>69</v>
      </c>
      <c r="E493" s="99" t="s">
        <v>779</v>
      </c>
      <c r="F493" s="391" t="str">
        <f>+Volumenes!D214</f>
        <v>ZOC_ELE</v>
      </c>
      <c r="G493" s="180">
        <f>VLOOKUP(F493,Volumenes!$D$19:$G$346,4,FALSE)</f>
        <v>12</v>
      </c>
      <c r="H493" s="97"/>
      <c r="I493" s="98">
        <f>15/60</f>
        <v>0.25</v>
      </c>
      <c r="J493" s="110">
        <f>+I493*(1+Tiempos!$C$17)</f>
        <v>0.263125</v>
      </c>
      <c r="K493" s="98">
        <f>+J493*G493</f>
        <v>3.1574999999999998</v>
      </c>
      <c r="L493" s="98">
        <f>+K493/Tiempos!$B$11</f>
        <v>6.8641304347826079E-3</v>
      </c>
      <c r="M493" s="261">
        <f>+K493/Tiempos!$B$12</f>
        <v>3.4320652173913039E-3</v>
      </c>
      <c r="N493" s="238"/>
      <c r="O493" s="238"/>
      <c r="P493" s="238"/>
      <c r="Q493" s="261"/>
    </row>
    <row r="494" spans="1:17" x14ac:dyDescent="0.35">
      <c r="A494" s="81"/>
      <c r="B494" s="81">
        <v>2</v>
      </c>
      <c r="C494" s="83">
        <v>1</v>
      </c>
      <c r="D494" s="83" t="s">
        <v>69</v>
      </c>
      <c r="E494" s="99" t="s">
        <v>780</v>
      </c>
      <c r="F494" s="391" t="str">
        <f>+F493</f>
        <v>ZOC_ELE</v>
      </c>
      <c r="G494" s="180">
        <f>VLOOKUP(F494,Volumenes!$D$19:$G$346,4,FALSE)</f>
        <v>12</v>
      </c>
      <c r="H494" s="97"/>
      <c r="I494" s="98">
        <f>15/60</f>
        <v>0.25</v>
      </c>
      <c r="J494" s="110">
        <f>+I494*(1+Tiempos!$C$17)</f>
        <v>0.263125</v>
      </c>
      <c r="K494" s="98">
        <f>+J494*G494</f>
        <v>3.1574999999999998</v>
      </c>
      <c r="L494" s="98">
        <f>+K494/Tiempos!$B$11</f>
        <v>6.8641304347826079E-3</v>
      </c>
      <c r="M494" s="261">
        <f>+K494/Tiempos!$B$12</f>
        <v>3.4320652173913039E-3</v>
      </c>
      <c r="N494" s="238"/>
      <c r="O494" s="238"/>
      <c r="P494" s="238"/>
      <c r="Q494" s="261"/>
    </row>
    <row r="495" spans="1:17" x14ac:dyDescent="0.35">
      <c r="A495" s="92"/>
      <c r="B495" s="92">
        <v>2</v>
      </c>
      <c r="C495" s="100">
        <v>1</v>
      </c>
      <c r="D495" s="100" t="s">
        <v>69</v>
      </c>
      <c r="E495" s="101" t="s">
        <v>781</v>
      </c>
      <c r="F495" s="393" t="str">
        <f>+F494</f>
        <v>ZOC_ELE</v>
      </c>
      <c r="G495" s="155">
        <f>VLOOKUP(F495,Volumenes!$D$19:$G$346,4,FALSE)</f>
        <v>12</v>
      </c>
      <c r="H495" s="102">
        <f>VLOOKUP(F495,Tiempos!$D$42:$F$228,2,FALSE)</f>
        <v>50</v>
      </c>
      <c r="I495" s="103">
        <f>VLOOKUP(F495,Tiempos!$D$42:$F$117,3,FALSE)</f>
        <v>0.42735042735042739</v>
      </c>
      <c r="J495" s="111">
        <f>+I495*(1+Tiempos!$C$17)</f>
        <v>0.4497863247863248</v>
      </c>
      <c r="K495" s="103">
        <f t="shared" ref="K495:K496" si="73">+J495*G495</f>
        <v>5.3974358974358978</v>
      </c>
      <c r="L495" s="103">
        <f>+K495/Tiempos!$B$11</f>
        <v>1.1733556298773691E-2</v>
      </c>
      <c r="M495" s="262">
        <f>+K495/Tiempos!$B$12</f>
        <v>5.8667781493868454E-3</v>
      </c>
      <c r="N495" s="243"/>
      <c r="O495" s="243"/>
      <c r="P495" s="243"/>
      <c r="Q495" s="262"/>
    </row>
    <row r="496" spans="1:17" x14ac:dyDescent="0.35">
      <c r="A496" s="81"/>
      <c r="B496" s="81">
        <v>2</v>
      </c>
      <c r="C496" s="83">
        <v>1</v>
      </c>
      <c r="D496" s="83" t="s">
        <v>69</v>
      </c>
      <c r="E496" s="99" t="s">
        <v>782</v>
      </c>
      <c r="F496" s="391" t="str">
        <f>+F495</f>
        <v>ZOC_ELE</v>
      </c>
      <c r="G496" s="180">
        <f>VLOOKUP(F496,Volumenes!$D$19:$G$346,4,FALSE)</f>
        <v>12</v>
      </c>
      <c r="H496" s="97"/>
      <c r="I496" s="98">
        <f>18/60</f>
        <v>0.3</v>
      </c>
      <c r="J496" s="110">
        <f>+I496*(1+Tiempos!$C$17)</f>
        <v>0.31574999999999998</v>
      </c>
      <c r="K496" s="98">
        <f t="shared" si="73"/>
        <v>3.7889999999999997</v>
      </c>
      <c r="L496" s="98">
        <f>+K496/Tiempos!$B$11</f>
        <v>8.2369565217391295E-3</v>
      </c>
      <c r="M496" s="261">
        <f>+K496/Tiempos!$B$12</f>
        <v>4.1184782608695647E-3</v>
      </c>
      <c r="N496" s="238"/>
      <c r="O496" s="238"/>
      <c r="P496" s="238"/>
      <c r="Q496" s="261"/>
    </row>
    <row r="497" spans="1:17" x14ac:dyDescent="0.35">
      <c r="A497" s="75"/>
      <c r="B497" s="75"/>
      <c r="E497" s="104"/>
      <c r="F497" s="75"/>
      <c r="G497" s="108"/>
      <c r="H497" s="105"/>
      <c r="I497" s="106"/>
      <c r="J497" s="107"/>
      <c r="K497" s="109"/>
      <c r="L497" s="98">
        <f>SUM(L493:L496)</f>
        <v>3.3698773690078038E-2</v>
      </c>
      <c r="M497" s="98">
        <f>SUM(M493:M496)</f>
        <v>1.6849386845039019E-2</v>
      </c>
      <c r="N497" s="141"/>
      <c r="O497" s="141"/>
      <c r="P497" s="141"/>
      <c r="Q497" s="141"/>
    </row>
    <row r="498" spans="1:17" x14ac:dyDescent="0.35">
      <c r="A498" s="75"/>
      <c r="B498" s="75"/>
      <c r="E498" s="104"/>
      <c r="F498" s="75"/>
      <c r="G498" s="108"/>
      <c r="H498" s="105"/>
      <c r="I498" s="106"/>
      <c r="J498" s="107"/>
      <c r="K498" s="109"/>
      <c r="L498" s="109"/>
      <c r="M498" s="109"/>
      <c r="N498" s="249"/>
      <c r="O498" s="249"/>
      <c r="P498" s="249"/>
      <c r="Q498" s="249"/>
    </row>
    <row r="499" spans="1:17" ht="13.15" x14ac:dyDescent="0.4">
      <c r="A499" s="84" t="s">
        <v>751</v>
      </c>
      <c r="B499" s="84"/>
      <c r="C499" s="70"/>
      <c r="D499" s="70"/>
      <c r="E499" s="94"/>
      <c r="F499" s="80"/>
      <c r="G499" s="80"/>
      <c r="H499" s="80"/>
      <c r="I499" s="80"/>
      <c r="J499" s="80"/>
      <c r="K499" s="80"/>
      <c r="L499" s="80"/>
    </row>
    <row r="500" spans="1:17" x14ac:dyDescent="0.35">
      <c r="A500" s="92"/>
      <c r="B500" s="92">
        <v>2</v>
      </c>
      <c r="C500" s="100">
        <v>1</v>
      </c>
      <c r="D500" s="100" t="s">
        <v>69</v>
      </c>
      <c r="E500" s="101" t="s">
        <v>788</v>
      </c>
      <c r="F500" s="393" t="str">
        <f>+Volumenes!D23</f>
        <v>MAQ_L3</v>
      </c>
      <c r="G500" s="155">
        <f>VLOOKUP(F500,Volumenes!$D$19:$G$346,4,FALSE)</f>
        <v>2</v>
      </c>
      <c r="H500" s="102">
        <v>137</v>
      </c>
      <c r="I500" s="103">
        <f>(H500/Tiempos!$B$29)/60</f>
        <v>1.170940170940171</v>
      </c>
      <c r="J500" s="111">
        <f>+I500*(1+Tiempos!$C$17)</f>
        <v>1.2324145299145299</v>
      </c>
      <c r="K500" s="103">
        <f>+J500*G500</f>
        <v>2.4648290598290599</v>
      </c>
      <c r="L500" s="424">
        <f>+K500/Tiempos!$B$11</f>
        <v>5.3583240431066522E-3</v>
      </c>
      <c r="M500" s="262">
        <f>+K500/Tiempos!$B$12</f>
        <v>2.6791620215533261E-3</v>
      </c>
      <c r="N500" s="243"/>
      <c r="O500" s="243"/>
      <c r="P500" s="243"/>
      <c r="Q500" s="262"/>
    </row>
    <row r="501" spans="1:17" x14ac:dyDescent="0.35">
      <c r="A501" s="81"/>
      <c r="B501" s="81">
        <v>2</v>
      </c>
      <c r="C501" s="83">
        <v>1</v>
      </c>
      <c r="D501" s="83" t="s">
        <v>69</v>
      </c>
      <c r="E501" s="99" t="s">
        <v>795</v>
      </c>
      <c r="F501" s="391" t="str">
        <f>+Volumenes!D23</f>
        <v>MAQ_L3</v>
      </c>
      <c r="G501" s="180">
        <f>VLOOKUP(F501,Volumenes!$D$19:$G$346,4,FALSE)</f>
        <v>2</v>
      </c>
      <c r="H501" s="97"/>
      <c r="I501" s="98">
        <f>30/60</f>
        <v>0.5</v>
      </c>
      <c r="J501" s="110">
        <f>+I501*(1+Tiempos!$C$17)</f>
        <v>0.52625</v>
      </c>
      <c r="K501" s="98">
        <f t="shared" ref="K501" si="74">+J501*G501</f>
        <v>1.0525</v>
      </c>
      <c r="L501" s="425">
        <f>+K501/Tiempos!$B$11</f>
        <v>2.2880434782608697E-3</v>
      </c>
      <c r="M501" s="261">
        <f>+K501/Tiempos!$B$12</f>
        <v>1.1440217391304349E-3</v>
      </c>
      <c r="N501" s="238"/>
      <c r="O501" s="238"/>
      <c r="P501" s="238"/>
      <c r="Q501" s="261"/>
    </row>
    <row r="502" spans="1:17" x14ac:dyDescent="0.35">
      <c r="A502" s="92"/>
      <c r="B502" s="92">
        <v>2</v>
      </c>
      <c r="C502" s="100">
        <v>1</v>
      </c>
      <c r="D502" s="100" t="s">
        <v>69</v>
      </c>
      <c r="E502" s="101" t="s">
        <v>787</v>
      </c>
      <c r="F502" s="393" t="str">
        <f>+F500</f>
        <v>MAQ_L3</v>
      </c>
      <c r="G502" s="155">
        <f>VLOOKUP(F502,Volumenes!$D$19:$G$346,4,FALSE)</f>
        <v>2</v>
      </c>
      <c r="H502" s="102">
        <v>35</v>
      </c>
      <c r="I502" s="103">
        <f>(H502/Tiempos!$B$29)/60</f>
        <v>0.29914529914529914</v>
      </c>
      <c r="J502" s="111">
        <f>+I502*(1+Tiempos!$C$17)</f>
        <v>0.31485042735042734</v>
      </c>
      <c r="K502" s="103">
        <f>+J502*G502</f>
        <v>0.62970085470085468</v>
      </c>
      <c r="L502" s="424">
        <f>+K502/Tiempos!$B$11</f>
        <v>1.368914901523597E-3</v>
      </c>
      <c r="M502" s="262">
        <f>+K502/Tiempos!$B$12</f>
        <v>6.8445745076179852E-4</v>
      </c>
      <c r="N502" s="243"/>
      <c r="O502" s="243"/>
      <c r="P502" s="243"/>
      <c r="Q502" s="262"/>
    </row>
    <row r="503" spans="1:17" x14ac:dyDescent="0.35">
      <c r="A503" s="81"/>
      <c r="B503" s="81">
        <v>2</v>
      </c>
      <c r="C503" s="83">
        <v>1</v>
      </c>
      <c r="D503" s="83" t="s">
        <v>69</v>
      </c>
      <c r="E503" s="99" t="s">
        <v>789</v>
      </c>
      <c r="F503" s="391" t="str">
        <f t="shared" ref="F503:F508" si="75">+F502</f>
        <v>MAQ_L3</v>
      </c>
      <c r="G503" s="180">
        <f>VLOOKUP(F503,Volumenes!$D$19:$G$346,4,FALSE)</f>
        <v>2</v>
      </c>
      <c r="H503" s="97"/>
      <c r="I503" s="98">
        <f>55/60</f>
        <v>0.91666666666666663</v>
      </c>
      <c r="J503" s="110">
        <f>+I503*(1+Tiempos!$C$17)</f>
        <v>0.9647916666666666</v>
      </c>
      <c r="K503" s="98">
        <f t="shared" ref="K503:K505" si="76">+J503*G503</f>
        <v>1.9295833333333332</v>
      </c>
      <c r="L503" s="425">
        <f>+K503/Tiempos!$B$11</f>
        <v>4.1947463768115941E-3</v>
      </c>
      <c r="M503" s="261">
        <f>+K503/Tiempos!$B$12</f>
        <v>2.0973731884057971E-3</v>
      </c>
      <c r="N503" s="238"/>
      <c r="O503" s="238"/>
      <c r="P503" s="238"/>
      <c r="Q503" s="261"/>
    </row>
    <row r="504" spans="1:17" x14ac:dyDescent="0.35">
      <c r="A504" s="92"/>
      <c r="B504" s="92">
        <v>2</v>
      </c>
      <c r="C504" s="100">
        <v>1</v>
      </c>
      <c r="D504" s="100" t="s">
        <v>69</v>
      </c>
      <c r="E504" s="101" t="s">
        <v>790</v>
      </c>
      <c r="F504" s="393" t="str">
        <f t="shared" si="75"/>
        <v>MAQ_L3</v>
      </c>
      <c r="G504" s="155">
        <f>VLOOKUP(F504,Volumenes!$D$19:$G$346,4,FALSE)</f>
        <v>2</v>
      </c>
      <c r="H504" s="102">
        <v>40</v>
      </c>
      <c r="I504" s="103">
        <f>(H504/Tiempos!$B$29)/60</f>
        <v>0.34188034188034189</v>
      </c>
      <c r="J504" s="111">
        <f>+I504*(1+Tiempos!$C$17)</f>
        <v>0.35982905982905983</v>
      </c>
      <c r="K504" s="103">
        <f t="shared" si="76"/>
        <v>0.71965811965811965</v>
      </c>
      <c r="L504" s="424">
        <f>+K504/Tiempos!$B$11</f>
        <v>1.5644741731698254E-3</v>
      </c>
      <c r="M504" s="262">
        <f>+K504/Tiempos!$B$12</f>
        <v>7.8223708658491271E-4</v>
      </c>
      <c r="N504" s="243"/>
      <c r="O504" s="243"/>
      <c r="P504" s="243"/>
      <c r="Q504" s="262"/>
    </row>
    <row r="505" spans="1:17" x14ac:dyDescent="0.35">
      <c r="A505" s="81"/>
      <c r="B505" s="81">
        <v>2</v>
      </c>
      <c r="C505" s="83">
        <v>1</v>
      </c>
      <c r="D505" s="83" t="s">
        <v>69</v>
      </c>
      <c r="E505" s="99" t="s">
        <v>791</v>
      </c>
      <c r="F505" s="391" t="str">
        <f t="shared" si="75"/>
        <v>MAQ_L3</v>
      </c>
      <c r="G505" s="180">
        <f>VLOOKUP(F505,Volumenes!$D$19:$G$346,4,FALSE)</f>
        <v>2</v>
      </c>
      <c r="H505" s="97"/>
      <c r="I505" s="98">
        <f>30/60</f>
        <v>0.5</v>
      </c>
      <c r="J505" s="110">
        <f>+I505*(1+Tiempos!$C$17)</f>
        <v>0.52625</v>
      </c>
      <c r="K505" s="98">
        <f t="shared" si="76"/>
        <v>1.0525</v>
      </c>
      <c r="L505" s="425">
        <f>+K505/Tiempos!$B$11</f>
        <v>2.2880434782608697E-3</v>
      </c>
      <c r="M505" s="261">
        <f>+K505/Tiempos!$B$12</f>
        <v>1.1440217391304349E-3</v>
      </c>
      <c r="N505" s="238"/>
      <c r="O505" s="238"/>
      <c r="P505" s="238"/>
      <c r="Q505" s="261"/>
    </row>
    <row r="506" spans="1:17" x14ac:dyDescent="0.35">
      <c r="A506" s="81"/>
      <c r="B506" s="81">
        <v>2</v>
      </c>
      <c r="C506" s="83">
        <v>1</v>
      </c>
      <c r="D506" s="83" t="s">
        <v>69</v>
      </c>
      <c r="E506" s="99" t="s">
        <v>792</v>
      </c>
      <c r="F506" s="391" t="str">
        <f t="shared" si="75"/>
        <v>MAQ_L3</v>
      </c>
      <c r="G506" s="180">
        <f>VLOOKUP(F506,Volumenes!$D$19:$G$346,4,FALSE)</f>
        <v>2</v>
      </c>
      <c r="H506" s="97"/>
      <c r="I506" s="98">
        <f>25/60</f>
        <v>0.41666666666666669</v>
      </c>
      <c r="J506" s="110">
        <f>+I506*(1+Tiempos!$C$17)</f>
        <v>0.43854166666666666</v>
      </c>
      <c r="K506" s="98">
        <f>+J506*G506</f>
        <v>0.87708333333333333</v>
      </c>
      <c r="L506" s="425">
        <f>+K506/Tiempos!$B$11</f>
        <v>1.9067028985507246E-3</v>
      </c>
      <c r="M506" s="261">
        <f>+K506/Tiempos!$B$12</f>
        <v>9.5335144927536232E-4</v>
      </c>
      <c r="N506" s="238"/>
      <c r="O506" s="238"/>
      <c r="P506" s="238"/>
      <c r="Q506" s="261"/>
    </row>
    <row r="507" spans="1:17" x14ac:dyDescent="0.35">
      <c r="A507" s="81"/>
      <c r="B507" s="81">
        <v>2</v>
      </c>
      <c r="C507" s="83">
        <v>1</v>
      </c>
      <c r="D507" s="83" t="s">
        <v>69</v>
      </c>
      <c r="E507" s="99" t="s">
        <v>793</v>
      </c>
      <c r="F507" s="391" t="str">
        <f t="shared" si="75"/>
        <v>MAQ_L3</v>
      </c>
      <c r="G507" s="180">
        <f>VLOOKUP(F507,Volumenes!$D$19:$G$346,4,FALSE)</f>
        <v>2</v>
      </c>
      <c r="H507" s="97"/>
      <c r="I507" s="98">
        <f>10/60</f>
        <v>0.16666666666666666</v>
      </c>
      <c r="J507" s="110">
        <f>+I507*(1+Tiempos!$C$17)</f>
        <v>0.17541666666666667</v>
      </c>
      <c r="K507" s="98">
        <f t="shared" ref="K507:K508" si="77">+J507*G507</f>
        <v>0.35083333333333333</v>
      </c>
      <c r="L507" s="425">
        <f>+K507/Tiempos!$B$11</f>
        <v>7.6268115942028987E-4</v>
      </c>
      <c r="M507" s="261">
        <f>+K507/Tiempos!$B$12</f>
        <v>3.8134057971014494E-4</v>
      </c>
      <c r="N507" s="238"/>
      <c r="O507" s="238"/>
      <c r="P507" s="238"/>
      <c r="Q507" s="261"/>
    </row>
    <row r="508" spans="1:17" x14ac:dyDescent="0.35">
      <c r="A508" s="92"/>
      <c r="B508" s="92">
        <v>2</v>
      </c>
      <c r="C508" s="100">
        <v>1</v>
      </c>
      <c r="D508" s="100" t="s">
        <v>69</v>
      </c>
      <c r="E508" s="101" t="s">
        <v>794</v>
      </c>
      <c r="F508" s="393" t="str">
        <f t="shared" si="75"/>
        <v>MAQ_L3</v>
      </c>
      <c r="G508" s="155">
        <f>VLOOKUP(F508,Volumenes!$D$19:$G$346,4,FALSE)</f>
        <v>2</v>
      </c>
      <c r="H508" s="102">
        <v>137</v>
      </c>
      <c r="I508" s="103">
        <f>(H508/Tiempos!$B$29)/60</f>
        <v>1.170940170940171</v>
      </c>
      <c r="J508" s="111">
        <f>+I508*(1+Tiempos!$C$17)</f>
        <v>1.2324145299145299</v>
      </c>
      <c r="K508" s="103">
        <f t="shared" si="77"/>
        <v>2.4648290598290599</v>
      </c>
      <c r="L508" s="424">
        <f>+K508/Tiempos!$B$11</f>
        <v>5.3583240431066522E-3</v>
      </c>
      <c r="M508" s="262">
        <f>+K508/Tiempos!$B$12</f>
        <v>2.6791620215533261E-3</v>
      </c>
      <c r="N508" s="243"/>
      <c r="O508" s="243"/>
      <c r="P508" s="243"/>
      <c r="Q508" s="262"/>
    </row>
    <row r="509" spans="1:17" x14ac:dyDescent="0.35">
      <c r="A509" s="75"/>
      <c r="B509" s="75"/>
      <c r="E509" s="104"/>
      <c r="F509" s="75"/>
      <c r="G509" s="108"/>
      <c r="H509" s="105"/>
      <c r="I509" s="106"/>
      <c r="J509" s="107"/>
      <c r="K509" s="109"/>
      <c r="L509" s="98">
        <f>SUM(L500:L508)</f>
        <v>2.5090254552211071E-2</v>
      </c>
      <c r="M509" s="98">
        <f>SUM(M500:M508)</f>
        <v>1.2545127276105536E-2</v>
      </c>
      <c r="N509" s="141"/>
      <c r="O509" s="141"/>
      <c r="P509" s="141"/>
      <c r="Q509" s="141"/>
    </row>
    <row r="510" spans="1:17" x14ac:dyDescent="0.35">
      <c r="A510" s="75"/>
      <c r="B510" s="75"/>
      <c r="E510" s="104"/>
      <c r="F510" s="75"/>
      <c r="G510" s="108"/>
      <c r="H510" s="105"/>
      <c r="I510" s="106"/>
      <c r="J510" s="107"/>
      <c r="K510" s="109"/>
      <c r="L510" s="109"/>
      <c r="M510" s="109"/>
      <c r="N510" s="249"/>
      <c r="O510" s="249"/>
      <c r="P510" s="249"/>
      <c r="Q510" s="249"/>
    </row>
    <row r="511" spans="1:17" ht="13.15" x14ac:dyDescent="0.4">
      <c r="A511" s="84" t="s">
        <v>844</v>
      </c>
      <c r="B511" s="84"/>
      <c r="C511" s="70"/>
      <c r="D511" s="70"/>
      <c r="E511" s="94"/>
      <c r="F511" s="80"/>
      <c r="G511" s="80"/>
      <c r="H511" s="80"/>
      <c r="I511" s="80"/>
      <c r="J511" s="80"/>
      <c r="K511" s="80"/>
      <c r="L511" s="80"/>
    </row>
    <row r="512" spans="1:17" x14ac:dyDescent="0.35">
      <c r="A512" s="81"/>
      <c r="B512" s="81">
        <v>2</v>
      </c>
      <c r="C512" s="83">
        <v>1</v>
      </c>
      <c r="D512" s="83" t="s">
        <v>69</v>
      </c>
      <c r="E512" s="99" t="s">
        <v>843</v>
      </c>
      <c r="F512" s="391" t="str">
        <f>+Volumenes!D215</f>
        <v>ENV_MEC</v>
      </c>
      <c r="G512" s="180">
        <f>VLOOKUP(F512,Volumenes!$D$19:$G$346,4,FALSE)</f>
        <v>82</v>
      </c>
      <c r="H512" s="97"/>
      <c r="I512" s="98">
        <f>12/60</f>
        <v>0.2</v>
      </c>
      <c r="J512" s="110">
        <f>+I512*(1+Tiempos!$C$17)</f>
        <v>0.21050000000000002</v>
      </c>
      <c r="K512" s="98">
        <f>+J512*G512</f>
        <v>17.261000000000003</v>
      </c>
      <c r="L512" s="98">
        <f>+K512/Tiempos!$B$11</f>
        <v>3.7523913043478269E-2</v>
      </c>
      <c r="M512" s="261"/>
      <c r="N512" s="238"/>
      <c r="O512" s="238"/>
      <c r="P512" s="238"/>
      <c r="Q512" s="261"/>
    </row>
    <row r="513" spans="1:17" x14ac:dyDescent="0.35">
      <c r="A513" s="81"/>
      <c r="B513" s="81">
        <v>2</v>
      </c>
      <c r="C513" s="83">
        <v>1</v>
      </c>
      <c r="D513" s="83" t="s">
        <v>69</v>
      </c>
      <c r="E513" s="99" t="s">
        <v>845</v>
      </c>
      <c r="F513" s="391" t="str">
        <f>+Volumenes!D215</f>
        <v>ENV_MEC</v>
      </c>
      <c r="G513" s="180">
        <f>VLOOKUP(F513,Volumenes!$D$19:$G$346,4,FALSE)</f>
        <v>82</v>
      </c>
      <c r="H513" s="97"/>
      <c r="I513" s="98">
        <f>95/60</f>
        <v>1.5833333333333333</v>
      </c>
      <c r="J513" s="110">
        <f>+I513*(1+Tiempos!$C$17)</f>
        <v>1.6664583333333332</v>
      </c>
      <c r="K513" s="98">
        <f>+J513*G513</f>
        <v>136.64958333333331</v>
      </c>
      <c r="L513" s="98">
        <f>+K513/Tiempos!$B$11</f>
        <v>0.29706431159420282</v>
      </c>
      <c r="M513" s="261"/>
      <c r="N513" s="238"/>
      <c r="O513" s="238"/>
      <c r="P513" s="238"/>
      <c r="Q513" s="261"/>
    </row>
    <row r="514" spans="1:17" x14ac:dyDescent="0.35">
      <c r="A514" s="81"/>
      <c r="B514" s="81">
        <v>2</v>
      </c>
      <c r="C514" s="83">
        <v>1</v>
      </c>
      <c r="D514" s="83" t="s">
        <v>69</v>
      </c>
      <c r="E514" s="99" t="s">
        <v>925</v>
      </c>
      <c r="F514" s="391" t="str">
        <f>+F513</f>
        <v>ENV_MEC</v>
      </c>
      <c r="G514" s="180">
        <f>VLOOKUP(F514,Volumenes!$D$19:$G$346,4,FALSE)</f>
        <v>82</v>
      </c>
      <c r="H514" s="97"/>
      <c r="I514" s="98">
        <f>10/60</f>
        <v>0.16666666666666666</v>
      </c>
      <c r="J514" s="110">
        <f>+I514*(1+Tiempos!$C$17)</f>
        <v>0.17541666666666667</v>
      </c>
      <c r="K514" s="98">
        <f>+J514*G514</f>
        <v>14.384166666666667</v>
      </c>
      <c r="L514" s="98">
        <f>+K514/Tiempos!$B$11</f>
        <v>3.1269927536231888E-2</v>
      </c>
      <c r="M514" s="261"/>
      <c r="N514" s="238"/>
      <c r="O514" s="238"/>
      <c r="P514" s="238"/>
      <c r="Q514" s="261"/>
    </row>
    <row r="515" spans="1:17" x14ac:dyDescent="0.35">
      <c r="A515" s="81"/>
      <c r="B515" s="81">
        <v>2</v>
      </c>
      <c r="C515" s="83">
        <v>1</v>
      </c>
      <c r="D515" s="83" t="s">
        <v>69</v>
      </c>
      <c r="E515" s="99" t="s">
        <v>847</v>
      </c>
      <c r="F515" s="391" t="str">
        <f>+Volumenes!D215</f>
        <v>ENV_MEC</v>
      </c>
      <c r="G515" s="180">
        <f>VLOOKUP(F515,Volumenes!$D$19:$G$346,4,FALSE)</f>
        <v>82</v>
      </c>
      <c r="H515" s="97"/>
      <c r="I515" s="98">
        <f>20/60</f>
        <v>0.33333333333333331</v>
      </c>
      <c r="J515" s="110">
        <f>+I515*(1+Tiempos!$C$17)</f>
        <v>0.35083333333333333</v>
      </c>
      <c r="K515" s="98">
        <f t="shared" ref="K515" si="78">+J515*G515</f>
        <v>28.768333333333334</v>
      </c>
      <c r="L515" s="98">
        <f>+K515/Tiempos!$B$11</f>
        <v>6.2539855072463776E-2</v>
      </c>
      <c r="M515" s="261">
        <f>+K515/Tiempos!B12</f>
        <v>3.1269927536231888E-2</v>
      </c>
      <c r="N515" s="238"/>
      <c r="O515" s="238"/>
      <c r="P515" s="238"/>
      <c r="Q515" s="261"/>
    </row>
    <row r="516" spans="1:17" x14ac:dyDescent="0.35">
      <c r="A516" s="81"/>
      <c r="B516" s="81">
        <v>2</v>
      </c>
      <c r="C516" s="83">
        <v>1</v>
      </c>
      <c r="D516" s="83" t="s">
        <v>69</v>
      </c>
      <c r="E516" s="99" t="s">
        <v>846</v>
      </c>
      <c r="F516" s="391" t="str">
        <f>+Volumenes!D216</f>
        <v>CAR_ENV</v>
      </c>
      <c r="G516" s="180">
        <f>VLOOKUP(F516,Volumenes!$D$19:$G$346,4,FALSE)</f>
        <v>20.5</v>
      </c>
      <c r="H516" s="97"/>
      <c r="I516" s="98">
        <f>8/60</f>
        <v>0.13333333333333333</v>
      </c>
      <c r="J516" s="110">
        <f>+I516*(1+Tiempos!$C$17)</f>
        <v>0.14033333333333334</v>
      </c>
      <c r="K516" s="98">
        <f>+J516*G516</f>
        <v>2.8768333333333334</v>
      </c>
      <c r="L516" s="98">
        <f>+K516/Tiempos!$B$11</f>
        <v>6.2539855072463769E-3</v>
      </c>
      <c r="M516" s="261"/>
      <c r="N516" s="238"/>
      <c r="O516" s="238"/>
      <c r="P516" s="238"/>
      <c r="Q516" s="261"/>
    </row>
    <row r="517" spans="1:17" x14ac:dyDescent="0.35">
      <c r="A517" s="92"/>
      <c r="B517" s="92">
        <v>2</v>
      </c>
      <c r="C517" s="100">
        <v>1</v>
      </c>
      <c r="D517" s="100" t="s">
        <v>69</v>
      </c>
      <c r="E517" s="101" t="s">
        <v>926</v>
      </c>
      <c r="F517" s="393" t="str">
        <f>+F516</f>
        <v>CAR_ENV</v>
      </c>
      <c r="G517" s="155">
        <f>VLOOKUP(F517,Volumenes!$D$19:$G$346,4,FALSE)</f>
        <v>20.5</v>
      </c>
      <c r="H517" s="102">
        <v>20</v>
      </c>
      <c r="I517" s="103">
        <f>+(H517/Tiempos!B29)/60</f>
        <v>0.17094017094017094</v>
      </c>
      <c r="J517" s="111">
        <f>+I517*(1+Tiempos!$C$17)</f>
        <v>0.17991452991452991</v>
      </c>
      <c r="K517" s="103">
        <f>+J517*G517</f>
        <v>3.688247863247863</v>
      </c>
      <c r="L517" s="103">
        <f>+K517/Tiempos!$B$11</f>
        <v>8.0179301374953549E-3</v>
      </c>
      <c r="M517" s="262"/>
      <c r="N517" s="243"/>
      <c r="O517" s="243"/>
      <c r="P517" s="243"/>
      <c r="Q517" s="262"/>
    </row>
    <row r="518" spans="1:17" x14ac:dyDescent="0.35">
      <c r="A518" s="75"/>
      <c r="B518" s="75"/>
      <c r="E518" s="104"/>
      <c r="F518" s="75"/>
      <c r="G518" s="108"/>
      <c r="H518" s="105"/>
      <c r="I518" s="106"/>
      <c r="J518" s="107"/>
      <c r="K518" s="109"/>
      <c r="L518" s="308">
        <f>SUM(L512:L517)</f>
        <v>0.44266992289111851</v>
      </c>
      <c r="M518" s="308">
        <f>SUM(M512:M516)</f>
        <v>3.1269927536231888E-2</v>
      </c>
      <c r="N518" s="437"/>
      <c r="O518" s="437"/>
      <c r="P518" s="437"/>
      <c r="Q518" s="437"/>
    </row>
    <row r="519" spans="1:17" x14ac:dyDescent="0.35">
      <c r="A519" s="75"/>
      <c r="B519" s="75"/>
      <c r="E519" s="104"/>
      <c r="F519" s="75"/>
      <c r="G519" s="108"/>
      <c r="H519" s="105"/>
      <c r="I519" s="106"/>
      <c r="J519" s="107"/>
      <c r="K519" s="109"/>
      <c r="L519" s="109"/>
      <c r="M519" s="109"/>
      <c r="N519" s="249"/>
      <c r="O519" s="249"/>
      <c r="P519" s="249"/>
      <c r="Q519" s="249"/>
    </row>
    <row r="520" spans="1:17" ht="13.15" x14ac:dyDescent="0.4">
      <c r="A520" s="84" t="s">
        <v>853</v>
      </c>
      <c r="B520" s="84"/>
      <c r="C520" s="70"/>
      <c r="D520" s="70"/>
      <c r="E520" s="94"/>
      <c r="F520" s="80"/>
      <c r="G520" s="80"/>
      <c r="H520" s="80"/>
      <c r="I520" s="80"/>
      <c r="J520" s="80"/>
      <c r="K520" s="80"/>
      <c r="L520" s="80"/>
    </row>
    <row r="521" spans="1:17" x14ac:dyDescent="0.35">
      <c r="A521" s="92"/>
      <c r="B521" s="92">
        <v>2</v>
      </c>
      <c r="C521" s="100">
        <v>1</v>
      </c>
      <c r="D521" s="100" t="s">
        <v>69</v>
      </c>
      <c r="E521" s="101" t="s">
        <v>826</v>
      </c>
      <c r="F521" s="393" t="str">
        <f>+Volumenes!D216</f>
        <v>CAR_ENV</v>
      </c>
      <c r="G521" s="155">
        <f>VLOOKUP(F521,Volumenes!$D$19:$G$346,4,FALSE)</f>
        <v>20.5</v>
      </c>
      <c r="H521" s="102">
        <f>VLOOKUP(F521,Tiempos!$D$42:$F$228,2,FALSE)</f>
        <v>115</v>
      </c>
      <c r="I521" s="103">
        <f>VLOOKUP(F521,Tiempos!$D$42:$F$117,3,FALSE)</f>
        <v>0.98290598290598297</v>
      </c>
      <c r="J521" s="111">
        <f>+I521*(1+Tiempos!$C$17)</f>
        <v>1.0345085470085471</v>
      </c>
      <c r="K521" s="103">
        <f t="shared" ref="K521:K524" si="79">+J521*G521</f>
        <v>21.207425213675215</v>
      </c>
      <c r="L521" s="103">
        <f>+K521/Tiempos!$B$11</f>
        <v>4.6103098290598291E-2</v>
      </c>
      <c r="M521" s="262">
        <f>+K521/Tiempos!$B$12</f>
        <v>2.3051549145299145E-2</v>
      </c>
      <c r="N521" s="243"/>
      <c r="O521" s="243"/>
      <c r="P521" s="243"/>
      <c r="Q521" s="262"/>
    </row>
    <row r="522" spans="1:17" x14ac:dyDescent="0.35">
      <c r="A522" s="81"/>
      <c r="B522" s="81">
        <v>2</v>
      </c>
      <c r="C522" s="83">
        <v>1</v>
      </c>
      <c r="D522" s="83" t="s">
        <v>69</v>
      </c>
      <c r="E522" s="99" t="s">
        <v>824</v>
      </c>
      <c r="F522" s="391" t="str">
        <f>+F521</f>
        <v>CAR_ENV</v>
      </c>
      <c r="G522" s="180">
        <f>VLOOKUP(F522,Volumenes!$D$19:$G$346,4,FALSE)</f>
        <v>20.5</v>
      </c>
      <c r="H522" s="97"/>
      <c r="I522" s="98">
        <f>15/60</f>
        <v>0.25</v>
      </c>
      <c r="J522" s="110">
        <f>+I522*(1+Tiempos!$C$17)</f>
        <v>0.263125</v>
      </c>
      <c r="K522" s="98">
        <f t="shared" si="79"/>
        <v>5.3940624999999995</v>
      </c>
      <c r="L522" s="98">
        <f>+K522/Tiempos!$B$11</f>
        <v>1.1726222826086955E-2</v>
      </c>
      <c r="M522" s="261">
        <f>+K522/Tiempos!$B$12</f>
        <v>5.8631114130434777E-3</v>
      </c>
      <c r="N522" s="238"/>
      <c r="O522" s="238"/>
      <c r="P522" s="238"/>
      <c r="Q522" s="261"/>
    </row>
    <row r="523" spans="1:17" x14ac:dyDescent="0.35">
      <c r="A523" s="81"/>
      <c r="B523" s="81">
        <v>2</v>
      </c>
      <c r="C523" s="83">
        <v>1</v>
      </c>
      <c r="D523" s="83" t="s">
        <v>69</v>
      </c>
      <c r="E523" s="99" t="s">
        <v>828</v>
      </c>
      <c r="F523" s="391" t="str">
        <f>+F522</f>
        <v>CAR_ENV</v>
      </c>
      <c r="G523" s="180">
        <f>VLOOKUP(F523,Volumenes!$D$19:$G$346,4,FALSE)</f>
        <v>20.5</v>
      </c>
      <c r="H523" s="97"/>
      <c r="I523" s="98">
        <f>15/60</f>
        <v>0.25</v>
      </c>
      <c r="J523" s="110">
        <f>+I523*(1+Tiempos!$C$17)</f>
        <v>0.263125</v>
      </c>
      <c r="K523" s="98">
        <f t="shared" si="79"/>
        <v>5.3940624999999995</v>
      </c>
      <c r="L523" s="98">
        <f>+K523/Tiempos!$B$11</f>
        <v>1.1726222826086955E-2</v>
      </c>
      <c r="M523" s="261">
        <f>+K523/Tiempos!$B$12</f>
        <v>5.8631114130434777E-3</v>
      </c>
      <c r="N523" s="238"/>
      <c r="O523" s="238"/>
      <c r="P523" s="238"/>
      <c r="Q523" s="261"/>
    </row>
    <row r="524" spans="1:17" x14ac:dyDescent="0.35">
      <c r="A524" s="81"/>
      <c r="B524" s="81">
        <v>2</v>
      </c>
      <c r="C524" s="83">
        <v>1</v>
      </c>
      <c r="D524" s="83" t="s">
        <v>69</v>
      </c>
      <c r="E524" s="99" t="s">
        <v>825</v>
      </c>
      <c r="F524" s="391" t="str">
        <f>+F523</f>
        <v>CAR_ENV</v>
      </c>
      <c r="G524" s="180">
        <f>VLOOKUP(F524,Volumenes!$D$19:$G$346,4,FALSE)</f>
        <v>20.5</v>
      </c>
      <c r="H524" s="97"/>
      <c r="I524" s="98">
        <f>15/60</f>
        <v>0.25</v>
      </c>
      <c r="J524" s="110">
        <f>+I524*(1+Tiempos!$C$17)</f>
        <v>0.263125</v>
      </c>
      <c r="K524" s="98">
        <f t="shared" si="79"/>
        <v>5.3940624999999995</v>
      </c>
      <c r="L524" s="98">
        <f>+K524/Tiempos!$B$11</f>
        <v>1.1726222826086955E-2</v>
      </c>
      <c r="M524" s="261">
        <f>+K524/Tiempos!$B$12</f>
        <v>5.8631114130434777E-3</v>
      </c>
      <c r="N524" s="238"/>
      <c r="O524" s="238"/>
      <c r="P524" s="238"/>
      <c r="Q524" s="261"/>
    </row>
    <row r="525" spans="1:17" x14ac:dyDescent="0.35">
      <c r="A525" s="92"/>
      <c r="B525" s="92">
        <v>2</v>
      </c>
      <c r="C525" s="100">
        <v>1</v>
      </c>
      <c r="D525" s="100" t="s">
        <v>69</v>
      </c>
      <c r="E525" s="101" t="s">
        <v>818</v>
      </c>
      <c r="F525" s="393" t="str">
        <f>+F524</f>
        <v>CAR_ENV</v>
      </c>
      <c r="G525" s="155">
        <f>VLOOKUP(F525,Volumenes!$D$19:$G$346,4,FALSE)</f>
        <v>20.5</v>
      </c>
      <c r="H525" s="102">
        <f>VLOOKUP(F525,Tiempos!$D$42:$F$228,2,FALSE)</f>
        <v>115</v>
      </c>
      <c r="I525" s="103">
        <f>(H525/Tiempos!$B$29)/60</f>
        <v>0.98290598290598297</v>
      </c>
      <c r="J525" s="111">
        <f>+I525*(1+Tiempos!$C$17)</f>
        <v>1.0345085470085471</v>
      </c>
      <c r="K525" s="103">
        <f>+J525*G525</f>
        <v>21.207425213675215</v>
      </c>
      <c r="L525" s="103">
        <f>+K525/Tiempos!$B$11</f>
        <v>4.6103098290598291E-2</v>
      </c>
      <c r="M525" s="262">
        <f>+K525/Tiempos!$B$12</f>
        <v>2.3051549145299145E-2</v>
      </c>
      <c r="N525" s="243"/>
      <c r="O525" s="243"/>
      <c r="P525" s="243"/>
      <c r="Q525" s="262"/>
    </row>
    <row r="526" spans="1:17" x14ac:dyDescent="0.35">
      <c r="A526" s="81"/>
      <c r="B526" s="81">
        <v>2</v>
      </c>
      <c r="C526" s="83">
        <v>1</v>
      </c>
      <c r="D526" s="83" t="s">
        <v>69</v>
      </c>
      <c r="E526" s="99" t="s">
        <v>828</v>
      </c>
      <c r="F526" s="391" t="str">
        <f>+F525</f>
        <v>CAR_ENV</v>
      </c>
      <c r="G526" s="180">
        <f>VLOOKUP(F526,Volumenes!$D$19:$G$346,4,FALSE)</f>
        <v>20.5</v>
      </c>
      <c r="H526" s="97"/>
      <c r="I526" s="98">
        <f>25/60</f>
        <v>0.41666666666666669</v>
      </c>
      <c r="J526" s="110">
        <f>+I526*(1+Tiempos!$C$17)</f>
        <v>0.43854166666666666</v>
      </c>
      <c r="K526" s="98">
        <f t="shared" ref="K526" si="80">+J526*G526</f>
        <v>8.9901041666666668</v>
      </c>
      <c r="L526" s="98">
        <f>+K526/Tiempos!$B$11</f>
        <v>1.9543704710144928E-2</v>
      </c>
      <c r="M526" s="261">
        <f>+K526/Tiempos!$B$12</f>
        <v>9.7718523550724638E-3</v>
      </c>
      <c r="N526" s="238"/>
      <c r="O526" s="238"/>
      <c r="P526" s="238"/>
      <c r="Q526" s="261"/>
    </row>
    <row r="527" spans="1:17" x14ac:dyDescent="0.35">
      <c r="A527" s="75"/>
      <c r="B527" s="75"/>
      <c r="E527" s="104"/>
      <c r="F527" s="75"/>
      <c r="G527" s="108"/>
      <c r="H527" s="105"/>
      <c r="I527" s="106"/>
      <c r="J527" s="107"/>
      <c r="K527" s="109"/>
      <c r="L527" s="308">
        <f>SUM(L521:L526)</f>
        <v>0.14692856976960239</v>
      </c>
      <c r="M527" s="308">
        <f>SUM(M521:M526)</f>
        <v>7.3464284884801195E-2</v>
      </c>
      <c r="N527" s="437"/>
      <c r="O527" s="437"/>
      <c r="P527" s="437"/>
      <c r="Q527" s="437"/>
    </row>
    <row r="528" spans="1:17" x14ac:dyDescent="0.35">
      <c r="A528" s="75"/>
      <c r="B528" s="75"/>
      <c r="E528" s="104"/>
      <c r="F528" s="75"/>
      <c r="G528" s="108"/>
      <c r="H528" s="105"/>
      <c r="I528" s="106"/>
      <c r="J528" s="107"/>
      <c r="K528" s="109"/>
      <c r="L528" s="109"/>
      <c r="M528" s="109"/>
      <c r="N528" s="249"/>
      <c r="O528" s="249"/>
      <c r="P528" s="249"/>
      <c r="Q528" s="249"/>
    </row>
    <row r="529" spans="1:17" ht="13.15" x14ac:dyDescent="0.4">
      <c r="A529" s="84" t="s">
        <v>833</v>
      </c>
      <c r="B529" s="84"/>
      <c r="C529" s="70"/>
      <c r="D529" s="70"/>
      <c r="E529" s="94"/>
      <c r="F529" s="80"/>
      <c r="G529" s="80"/>
      <c r="H529" s="80"/>
      <c r="I529" s="80"/>
      <c r="J529" s="80"/>
      <c r="K529" s="80"/>
      <c r="L529" s="80"/>
    </row>
    <row r="530" spans="1:17" x14ac:dyDescent="0.35">
      <c r="A530" s="81"/>
      <c r="B530" s="81">
        <v>2</v>
      </c>
      <c r="C530" s="83">
        <v>1</v>
      </c>
      <c r="D530" s="83" t="s">
        <v>69</v>
      </c>
      <c r="E530" s="99" t="s">
        <v>834</v>
      </c>
      <c r="F530" s="391" t="str">
        <f>+Volumenes!D219</f>
        <v>TUB_PT</v>
      </c>
      <c r="G530" s="180">
        <f>VLOOKUP(F530,Volumenes!$D$19:$G$346,4,FALSE)</f>
        <v>10</v>
      </c>
      <c r="H530" s="97"/>
      <c r="I530" s="98">
        <f>15/60</f>
        <v>0.25</v>
      </c>
      <c r="J530" s="110">
        <f>+I530*(1+Tiempos!$C$17)</f>
        <v>0.263125</v>
      </c>
      <c r="K530" s="98">
        <f t="shared" ref="K530:K535" si="81">+J530*G530</f>
        <v>2.6312500000000001</v>
      </c>
      <c r="L530" s="98">
        <f>+K530/Tiempos!$B$11</f>
        <v>5.7201086956521737E-3</v>
      </c>
      <c r="M530" s="261">
        <f>+K530/Tiempos!$B$12</f>
        <v>2.8600543478260868E-3</v>
      </c>
      <c r="N530" s="238"/>
      <c r="O530" s="238"/>
      <c r="P530" s="238"/>
      <c r="Q530" s="261"/>
    </row>
    <row r="531" spans="1:17" x14ac:dyDescent="0.35">
      <c r="A531" s="92"/>
      <c r="B531" s="92">
        <v>2</v>
      </c>
      <c r="C531" s="100">
        <v>1</v>
      </c>
      <c r="D531" s="100" t="s">
        <v>69</v>
      </c>
      <c r="E531" s="101" t="s">
        <v>835</v>
      </c>
      <c r="F531" s="393" t="str">
        <f>+F530</f>
        <v>TUB_PT</v>
      </c>
      <c r="G531" s="155">
        <f>VLOOKUP(F531,Volumenes!$D$19:$G$346,4,FALSE)</f>
        <v>10</v>
      </c>
      <c r="H531" s="102">
        <f>VLOOKUP(F531,Tiempos!$D$42:$F$228,2,FALSE)</f>
        <v>92</v>
      </c>
      <c r="I531" s="103">
        <f>VLOOKUP(F531,Tiempos!$D$42:$F$117,3,FALSE)</f>
        <v>0.78632478632478642</v>
      </c>
      <c r="J531" s="111">
        <f>+I531*(1+Tiempos!$C$17)</f>
        <v>0.82760683760683773</v>
      </c>
      <c r="K531" s="103">
        <f t="shared" si="81"/>
        <v>8.2760683760683769</v>
      </c>
      <c r="L531" s="103">
        <f>+K531/Tiempos!$B$11</f>
        <v>1.7991452991452994E-2</v>
      </c>
      <c r="M531" s="262">
        <f>+K531/Tiempos!$B$12</f>
        <v>8.9957264957264971E-3</v>
      </c>
      <c r="N531" s="243"/>
      <c r="O531" s="243"/>
      <c r="P531" s="243"/>
      <c r="Q531" s="262"/>
    </row>
    <row r="532" spans="1:17" x14ac:dyDescent="0.35">
      <c r="A532" s="81"/>
      <c r="B532" s="81">
        <v>2</v>
      </c>
      <c r="C532" s="83">
        <v>1</v>
      </c>
      <c r="D532" s="83" t="s">
        <v>69</v>
      </c>
      <c r="E532" s="99" t="s">
        <v>836</v>
      </c>
      <c r="F532" s="391" t="str">
        <f>+F531</f>
        <v>TUB_PT</v>
      </c>
      <c r="G532" s="180">
        <f>VLOOKUP(F532,Volumenes!$D$19:$G$346,4,FALSE)</f>
        <v>10</v>
      </c>
      <c r="H532" s="97"/>
      <c r="I532" s="98">
        <f t="shared" ref="I532:I533" si="82">15/60</f>
        <v>0.25</v>
      </c>
      <c r="J532" s="110">
        <f>+I532*(1+Tiempos!$C$17)</f>
        <v>0.263125</v>
      </c>
      <c r="K532" s="98">
        <f t="shared" si="81"/>
        <v>2.6312500000000001</v>
      </c>
      <c r="L532" s="98">
        <f>+K532/Tiempos!$B$11</f>
        <v>5.7201086956521737E-3</v>
      </c>
      <c r="M532" s="261">
        <f>+K532/Tiempos!$B$12</f>
        <v>2.8600543478260868E-3</v>
      </c>
      <c r="N532" s="238"/>
      <c r="O532" s="238"/>
      <c r="P532" s="238"/>
      <c r="Q532" s="261"/>
    </row>
    <row r="533" spans="1:17" x14ac:dyDescent="0.35">
      <c r="A533" s="81"/>
      <c r="B533" s="81">
        <v>2</v>
      </c>
      <c r="C533" s="83">
        <v>1</v>
      </c>
      <c r="D533" s="83" t="s">
        <v>69</v>
      </c>
      <c r="E533" s="99" t="s">
        <v>834</v>
      </c>
      <c r="F533" s="391" t="str">
        <f>+Volumenes!D218</f>
        <v>TUB_SAN</v>
      </c>
      <c r="G533" s="180">
        <f>VLOOKUP(F533,Volumenes!$D$19:$G$346,4,FALSE)</f>
        <v>9</v>
      </c>
      <c r="H533" s="97"/>
      <c r="I533" s="98">
        <f t="shared" si="82"/>
        <v>0.25</v>
      </c>
      <c r="J533" s="110">
        <f>+I533*(1+Tiempos!$C$17)</f>
        <v>0.263125</v>
      </c>
      <c r="K533" s="98">
        <f t="shared" si="81"/>
        <v>2.368125</v>
      </c>
      <c r="L533" s="98">
        <f>+K533/Tiempos!$B$11</f>
        <v>5.1480978260869566E-3</v>
      </c>
      <c r="M533" s="261">
        <f>+K533/Tiempos!$B$12</f>
        <v>2.5740489130434783E-3</v>
      </c>
      <c r="N533" s="238"/>
      <c r="O533" s="238"/>
      <c r="P533" s="238"/>
      <c r="Q533" s="261"/>
    </row>
    <row r="534" spans="1:17" x14ac:dyDescent="0.35">
      <c r="A534" s="92"/>
      <c r="B534" s="92">
        <v>2</v>
      </c>
      <c r="C534" s="100">
        <v>1</v>
      </c>
      <c r="D534" s="100" t="s">
        <v>69</v>
      </c>
      <c r="E534" s="101" t="s">
        <v>837</v>
      </c>
      <c r="F534" s="393" t="str">
        <f>+F533</f>
        <v>TUB_SAN</v>
      </c>
      <c r="G534" s="155">
        <f>VLOOKUP(F534,Volumenes!$D$19:$G$346,4,FALSE)</f>
        <v>9</v>
      </c>
      <c r="H534" s="102">
        <f>VLOOKUP(F534,Tiempos!$D$42:$F$228,2,FALSE)</f>
        <v>150</v>
      </c>
      <c r="I534" s="103">
        <f>VLOOKUP(F534,Tiempos!$D$42:$F$117,3,FALSE)</f>
        <v>1.2820512820512819</v>
      </c>
      <c r="J534" s="111">
        <f>+I534*(1+Tiempos!$C$17)</f>
        <v>1.3493589743589742</v>
      </c>
      <c r="K534" s="103">
        <f t="shared" si="81"/>
        <v>12.144230769230768</v>
      </c>
      <c r="L534" s="103">
        <f>+K534/Tiempos!$B$11</f>
        <v>2.6400501672240801E-2</v>
      </c>
      <c r="M534" s="262">
        <f>+K534/Tiempos!$B$12</f>
        <v>1.3200250836120401E-2</v>
      </c>
      <c r="N534" s="243"/>
      <c r="O534" s="243"/>
      <c r="P534" s="243"/>
      <c r="Q534" s="262"/>
    </row>
    <row r="535" spans="1:17" x14ac:dyDescent="0.35">
      <c r="A535" s="81"/>
      <c r="B535" s="81">
        <v>2</v>
      </c>
      <c r="C535" s="83">
        <v>1</v>
      </c>
      <c r="D535" s="83" t="s">
        <v>69</v>
      </c>
      <c r="E535" s="99" t="s">
        <v>838</v>
      </c>
      <c r="F535" s="391" t="str">
        <f>+F534</f>
        <v>TUB_SAN</v>
      </c>
      <c r="G535" s="180">
        <f>VLOOKUP(F535,Volumenes!$D$19:$G$346,4,FALSE)</f>
        <v>9</v>
      </c>
      <c r="H535" s="97"/>
      <c r="I535" s="98">
        <f>15/60</f>
        <v>0.25</v>
      </c>
      <c r="J535" s="110">
        <f>+I535*(1+Tiempos!$C$17)</f>
        <v>0.263125</v>
      </c>
      <c r="K535" s="98">
        <f t="shared" si="81"/>
        <v>2.368125</v>
      </c>
      <c r="L535" s="98">
        <f>+K535/Tiempos!$B$11</f>
        <v>5.1480978260869566E-3</v>
      </c>
      <c r="M535" s="261">
        <f>+K535/Tiempos!$B$12</f>
        <v>2.5740489130434783E-3</v>
      </c>
      <c r="N535" s="238"/>
      <c r="O535" s="238"/>
      <c r="P535" s="238"/>
      <c r="Q535" s="261"/>
    </row>
    <row r="536" spans="1:17" x14ac:dyDescent="0.35">
      <c r="A536" s="75"/>
      <c r="B536" s="75"/>
      <c r="E536" s="104"/>
      <c r="F536" s="75"/>
      <c r="G536" s="108"/>
      <c r="H536" s="105"/>
      <c r="I536" s="106"/>
      <c r="J536" s="107"/>
      <c r="K536" s="109"/>
      <c r="L536" s="308">
        <f>SUM(L530:L535)</f>
        <v>6.612836770717205E-2</v>
      </c>
      <c r="M536" s="308">
        <f>SUM(M530:M535)</f>
        <v>3.3064183853586025E-2</v>
      </c>
      <c r="N536" s="437"/>
      <c r="O536" s="437"/>
      <c r="P536" s="437"/>
      <c r="Q536" s="437"/>
    </row>
    <row r="537" spans="1:17" x14ac:dyDescent="0.35">
      <c r="A537" s="75"/>
      <c r="B537" s="75"/>
      <c r="E537" s="104"/>
      <c r="F537" s="75"/>
      <c r="G537" s="108"/>
      <c r="H537" s="105"/>
      <c r="I537" s="106"/>
      <c r="J537" s="107"/>
      <c r="K537" s="109"/>
      <c r="L537" s="109"/>
      <c r="M537" s="109"/>
      <c r="N537" s="249"/>
      <c r="O537" s="249"/>
      <c r="P537" s="249"/>
      <c r="Q537" s="249"/>
    </row>
    <row r="538" spans="1:17" ht="13.15" x14ac:dyDescent="0.4">
      <c r="A538" s="84" t="s">
        <v>857</v>
      </c>
      <c r="B538" s="84"/>
      <c r="C538" s="70"/>
      <c r="D538" s="70"/>
      <c r="E538" s="94"/>
      <c r="F538" s="80"/>
      <c r="G538" s="80"/>
      <c r="H538" s="80"/>
      <c r="I538" s="80"/>
      <c r="J538" s="80"/>
      <c r="K538" s="80"/>
      <c r="L538" s="80"/>
    </row>
    <row r="539" spans="1:17" x14ac:dyDescent="0.35">
      <c r="A539" s="81"/>
      <c r="B539" s="81">
        <v>2</v>
      </c>
      <c r="C539" s="83">
        <v>1</v>
      </c>
      <c r="D539" s="83" t="s">
        <v>69</v>
      </c>
      <c r="E539" s="99" t="s">
        <v>858</v>
      </c>
      <c r="F539" s="391" t="str">
        <f>+Volumenes!D43</f>
        <v>CHA_MUL_3D</v>
      </c>
      <c r="G539" s="180">
        <f>VLOOKUP(F539,Volumenes!$D$19:$G$346,4,FALSE)</f>
        <v>45.667827824349573</v>
      </c>
      <c r="H539" s="97"/>
      <c r="I539" s="98">
        <f>50/60</f>
        <v>0.83333333333333337</v>
      </c>
      <c r="J539" s="110">
        <f>+I539*(1+Tiempos!$C$17)</f>
        <v>0.87708333333333333</v>
      </c>
      <c r="K539" s="98">
        <f t="shared" ref="K539:K543" si="83">+J539*G539</f>
        <v>40.054490654273273</v>
      </c>
      <c r="L539" s="98">
        <f>+K539/Tiempos!$B$11</f>
        <v>8.7074979683202769E-2</v>
      </c>
      <c r="M539" s="261"/>
      <c r="N539" s="238"/>
      <c r="O539" s="261">
        <f>+K539/Tiempos!$B$12</f>
        <v>4.3537489841601384E-2</v>
      </c>
      <c r="P539" s="238"/>
      <c r="Q539" s="261"/>
    </row>
    <row r="540" spans="1:17" x14ac:dyDescent="0.35">
      <c r="A540" s="81"/>
      <c r="B540" s="81">
        <v>2</v>
      </c>
      <c r="C540" s="83">
        <v>1</v>
      </c>
      <c r="D540" s="83" t="s">
        <v>69</v>
      </c>
      <c r="E540" s="99" t="s">
        <v>859</v>
      </c>
      <c r="F540" s="391" t="str">
        <f>+F539</f>
        <v>CHA_MUL_3D</v>
      </c>
      <c r="G540" s="180">
        <f>VLOOKUP(F540,Volumenes!$D$19:$G$346,4,FALSE)</f>
        <v>45.667827824349573</v>
      </c>
      <c r="H540" s="97"/>
      <c r="I540" s="98">
        <f>10/60</f>
        <v>0.16666666666666666</v>
      </c>
      <c r="J540" s="110">
        <f>+I540*(1+Tiempos!$C$17)</f>
        <v>0.17541666666666667</v>
      </c>
      <c r="K540" s="98">
        <f t="shared" si="83"/>
        <v>8.0108981308546543</v>
      </c>
      <c r="L540" s="98">
        <f>+K540/Tiempos!$B$11</f>
        <v>1.7414995936640552E-2</v>
      </c>
      <c r="M540" s="261"/>
      <c r="N540" s="238"/>
      <c r="O540" s="443">
        <f>+K540/Tiempos!$B$12</f>
        <v>8.7074979683202762E-3</v>
      </c>
      <c r="P540" s="238"/>
      <c r="Q540" s="261"/>
    </row>
    <row r="541" spans="1:17" x14ac:dyDescent="0.35">
      <c r="A541" s="92"/>
      <c r="B541" s="92">
        <v>2</v>
      </c>
      <c r="C541" s="100">
        <v>1</v>
      </c>
      <c r="D541" s="100" t="s">
        <v>69</v>
      </c>
      <c r="E541" s="101" t="s">
        <v>861</v>
      </c>
      <c r="F541" s="393" t="str">
        <f>+F539</f>
        <v>CHA_MUL_3D</v>
      </c>
      <c r="G541" s="155">
        <f>VLOOKUP(F541,Volumenes!$D$19:$G$346,4,FALSE)</f>
        <v>45.667827824349573</v>
      </c>
      <c r="H541" s="102">
        <v>90</v>
      </c>
      <c r="I541" s="103">
        <f>(H541/Tiempos!$B$29)/60</f>
        <v>0.76923076923076927</v>
      </c>
      <c r="J541" s="111">
        <f>+I541*(1+Tiempos!$C$17)</f>
        <v>0.80961538461538463</v>
      </c>
      <c r="K541" s="103">
        <f t="shared" si="83"/>
        <v>36.973375988559944</v>
      </c>
      <c r="L541" s="103">
        <f>+K541/Tiempos!$B$11</f>
        <v>8.0376904322956397E-2</v>
      </c>
      <c r="M541" s="262"/>
      <c r="N541" s="243"/>
      <c r="O541" s="444">
        <f>+K541/Tiempos!$B$12</f>
        <v>4.0188452161478198E-2</v>
      </c>
      <c r="P541" s="243"/>
      <c r="Q541" s="262"/>
    </row>
    <row r="542" spans="1:17" x14ac:dyDescent="0.35">
      <c r="A542" s="81"/>
      <c r="B542" s="81">
        <v>2</v>
      </c>
      <c r="C542" s="83">
        <v>1</v>
      </c>
      <c r="D542" s="83" t="s">
        <v>69</v>
      </c>
      <c r="E542" s="99" t="s">
        <v>860</v>
      </c>
      <c r="F542" s="391" t="str">
        <f>+F541</f>
        <v>CHA_MUL_3D</v>
      </c>
      <c r="G542" s="180">
        <f>VLOOKUP(F542,Volumenes!$D$19:$G$346,4,FALSE)</f>
        <v>45.667827824349573</v>
      </c>
      <c r="H542" s="97"/>
      <c r="I542" s="98">
        <f>25/60</f>
        <v>0.41666666666666669</v>
      </c>
      <c r="J542" s="110">
        <f>+I542*(1+Tiempos!$C$17)</f>
        <v>0.43854166666666666</v>
      </c>
      <c r="K542" s="98">
        <f t="shared" si="83"/>
        <v>20.027245327136637</v>
      </c>
      <c r="L542" s="98">
        <f>+K542/Tiempos!$B$11</f>
        <v>4.3537489841601384E-2</v>
      </c>
      <c r="M542" s="261"/>
      <c r="N542" s="238"/>
      <c r="O542" s="443">
        <f>+K542/Tiempos!$B$12</f>
        <v>2.1768744920800692E-2</v>
      </c>
      <c r="P542" s="238"/>
      <c r="Q542" s="261"/>
    </row>
    <row r="543" spans="1:17" x14ac:dyDescent="0.35">
      <c r="A543" s="81"/>
      <c r="B543" s="81">
        <v>2</v>
      </c>
      <c r="C543" s="83">
        <v>1</v>
      </c>
      <c r="D543" s="83" t="s">
        <v>69</v>
      </c>
      <c r="E543" s="99" t="s">
        <v>862</v>
      </c>
      <c r="F543" s="391" t="str">
        <f>+F542</f>
        <v>CHA_MUL_3D</v>
      </c>
      <c r="G543" s="180">
        <f>VLOOKUP(F543,Volumenes!$D$19:$G$346,4,FALSE)</f>
        <v>45.667827824349573</v>
      </c>
      <c r="H543" s="97"/>
      <c r="I543" s="98">
        <f>25/60</f>
        <v>0.41666666666666669</v>
      </c>
      <c r="J543" s="110">
        <f>+I543*(1+Tiempos!$C$17)</f>
        <v>0.43854166666666666</v>
      </c>
      <c r="K543" s="98">
        <f t="shared" si="83"/>
        <v>20.027245327136637</v>
      </c>
      <c r="L543" s="98">
        <f>+K543/Tiempos!$B$11</f>
        <v>4.3537489841601384E-2</v>
      </c>
      <c r="M543" s="261"/>
      <c r="N543" s="238"/>
      <c r="O543" s="443">
        <f>+K543/Tiempos!$B$12</f>
        <v>2.1768744920800692E-2</v>
      </c>
      <c r="P543" s="238"/>
      <c r="Q543" s="261"/>
    </row>
    <row r="544" spans="1:17" x14ac:dyDescent="0.35">
      <c r="A544" s="75"/>
      <c r="B544" s="75"/>
      <c r="E544" s="104"/>
      <c r="F544" s="75"/>
      <c r="G544" s="108"/>
      <c r="H544" s="105"/>
      <c r="I544" s="106"/>
      <c r="J544" s="107"/>
      <c r="K544" s="109"/>
      <c r="L544" s="308">
        <f>SUM(L539:L543)</f>
        <v>0.27194185962600248</v>
      </c>
      <c r="M544" s="308"/>
      <c r="N544" s="437"/>
      <c r="O544" s="437">
        <f>SUM(O539:O543)</f>
        <v>0.13597092981300124</v>
      </c>
      <c r="P544" s="437"/>
      <c r="Q544" s="437"/>
    </row>
    <row r="545" spans="1:17" x14ac:dyDescent="0.35">
      <c r="A545" s="75"/>
      <c r="B545" s="75"/>
      <c r="E545" s="104"/>
      <c r="F545" s="75"/>
      <c r="G545" s="108"/>
      <c r="H545" s="105"/>
      <c r="I545" s="106"/>
      <c r="J545" s="107"/>
      <c r="K545" s="109"/>
      <c r="L545" s="109"/>
      <c r="M545" s="109"/>
      <c r="N545" s="249"/>
      <c r="O545" s="249"/>
      <c r="P545" s="249"/>
      <c r="Q545" s="249"/>
    </row>
    <row r="546" spans="1:17" ht="13.15" x14ac:dyDescent="0.4">
      <c r="A546" s="84" t="s">
        <v>927</v>
      </c>
      <c r="B546" s="84"/>
      <c r="C546" s="70"/>
      <c r="D546" s="70"/>
      <c r="E546" s="94"/>
      <c r="F546" s="80"/>
      <c r="G546" s="80"/>
      <c r="H546" s="80"/>
      <c r="I546" s="80"/>
      <c r="J546" s="80"/>
      <c r="K546" s="80"/>
      <c r="L546" s="80"/>
    </row>
    <row r="547" spans="1:17" x14ac:dyDescent="0.35">
      <c r="A547" s="81"/>
      <c r="B547" s="81">
        <v>2</v>
      </c>
      <c r="C547" s="83">
        <v>1</v>
      </c>
      <c r="D547" s="83" t="s">
        <v>69</v>
      </c>
      <c r="E547" s="99" t="s">
        <v>881</v>
      </c>
      <c r="F547" s="391" t="str">
        <f>+Volumenes!D40</f>
        <v>CHA_AUT_VAC</v>
      </c>
      <c r="G547" s="180">
        <f>VLOOKUP(F547,Volumenes!$D$19:$G$346,4,FALSE)</f>
        <v>97.044134126742833</v>
      </c>
      <c r="H547" s="97"/>
      <c r="I547" s="98">
        <f>50/60</f>
        <v>0.83333333333333337</v>
      </c>
      <c r="J547" s="110">
        <f>+I547*(1+Tiempos!$C$17)</f>
        <v>0.87708333333333333</v>
      </c>
      <c r="K547" s="98">
        <f t="shared" ref="K547:K549" si="84">+J547*G547</f>
        <v>85.115792640330696</v>
      </c>
      <c r="L547" s="98">
        <f>+K547/Tiempos!$B$11</f>
        <v>0.18503433182680587</v>
      </c>
      <c r="M547" s="261"/>
      <c r="N547" s="238"/>
      <c r="O547" s="261">
        <f>+K547/Tiempos!$B$12</f>
        <v>9.2517165913402935E-2</v>
      </c>
      <c r="P547" s="238"/>
      <c r="Q547" s="261"/>
    </row>
    <row r="548" spans="1:17" x14ac:dyDescent="0.35">
      <c r="A548" s="92"/>
      <c r="B548" s="92">
        <v>2</v>
      </c>
      <c r="C548" s="100">
        <v>1</v>
      </c>
      <c r="D548" s="100" t="s">
        <v>69</v>
      </c>
      <c r="E548" s="101" t="s">
        <v>882</v>
      </c>
      <c r="F548" s="393" t="str">
        <f>+F547</f>
        <v>CHA_AUT_VAC</v>
      </c>
      <c r="G548" s="155">
        <f>VLOOKUP(F548,Volumenes!$D$19:$G$346,4,FALSE)</f>
        <v>97.044134126742833</v>
      </c>
      <c r="H548" s="102">
        <v>90</v>
      </c>
      <c r="I548" s="103">
        <f>(H548/Tiempos!$B$29)/60</f>
        <v>0.76923076923076927</v>
      </c>
      <c r="J548" s="111">
        <f>+I548*(1+Tiempos!$C$17)</f>
        <v>0.80961538461538463</v>
      </c>
      <c r="K548" s="103">
        <f t="shared" si="84"/>
        <v>78.568423975689868</v>
      </c>
      <c r="L548" s="103">
        <f>+K548/Tiempos!$B$11</f>
        <v>0.17080092168628233</v>
      </c>
      <c r="M548" s="262"/>
      <c r="N548" s="243"/>
      <c r="O548" s="444">
        <f>+K548/Tiempos!$B$12</f>
        <v>8.5400460843141165E-2</v>
      </c>
      <c r="P548" s="243"/>
      <c r="Q548" s="262"/>
    </row>
    <row r="549" spans="1:17" x14ac:dyDescent="0.35">
      <c r="A549" s="81"/>
      <c r="B549" s="81">
        <v>2</v>
      </c>
      <c r="C549" s="83">
        <v>1</v>
      </c>
      <c r="D549" s="83" t="s">
        <v>69</v>
      </c>
      <c r="E549" s="99" t="s">
        <v>883</v>
      </c>
      <c r="F549" s="391" t="str">
        <f>+F548</f>
        <v>CHA_AUT_VAC</v>
      </c>
      <c r="G549" s="180">
        <f>VLOOKUP(F549,Volumenes!$D$19:$G$346,4,FALSE)</f>
        <v>97.044134126742833</v>
      </c>
      <c r="H549" s="97"/>
      <c r="I549" s="98">
        <f>25/60</f>
        <v>0.41666666666666669</v>
      </c>
      <c r="J549" s="110">
        <f>+I549*(1+Tiempos!$C$17)</f>
        <v>0.43854166666666666</v>
      </c>
      <c r="K549" s="98">
        <f t="shared" si="84"/>
        <v>42.557896320165348</v>
      </c>
      <c r="L549" s="98">
        <f>+K549/Tiempos!$B$11</f>
        <v>9.2517165913402935E-2</v>
      </c>
      <c r="M549" s="261"/>
      <c r="N549" s="238"/>
      <c r="O549" s="443">
        <f>+K549/Tiempos!$B$12</f>
        <v>4.6258582956701468E-2</v>
      </c>
      <c r="P549" s="238"/>
      <c r="Q549" s="261"/>
    </row>
    <row r="550" spans="1:17" x14ac:dyDescent="0.35">
      <c r="A550" s="75"/>
      <c r="B550" s="75"/>
      <c r="E550" s="104"/>
      <c r="F550" s="75"/>
      <c r="G550" s="108"/>
      <c r="H550" s="105"/>
      <c r="I550" s="106"/>
      <c r="J550" s="107"/>
      <c r="K550" s="109"/>
      <c r="L550" s="308">
        <f>SUM(L547:L549)</f>
        <v>0.44835241942649112</v>
      </c>
      <c r="M550" s="308"/>
      <c r="N550" s="437"/>
      <c r="O550" s="437">
        <f>SUM(O547:O549)</f>
        <v>0.22417620971324556</v>
      </c>
      <c r="P550" s="437"/>
      <c r="Q550" s="437"/>
    </row>
    <row r="551" spans="1:17" x14ac:dyDescent="0.35">
      <c r="A551" s="75"/>
      <c r="B551" s="75"/>
      <c r="E551" s="104"/>
      <c r="F551" s="75"/>
      <c r="G551" s="108"/>
      <c r="H551" s="105"/>
      <c r="I551" s="106"/>
      <c r="J551" s="107"/>
      <c r="K551" s="109"/>
      <c r="L551" s="109"/>
      <c r="M551" s="109"/>
      <c r="N551" s="249"/>
      <c r="O551" s="249"/>
      <c r="P551" s="249"/>
      <c r="Q551" s="249"/>
    </row>
    <row r="552" spans="1:17" ht="13.15" x14ac:dyDescent="0.4">
      <c r="A552" s="84" t="s">
        <v>1080</v>
      </c>
      <c r="B552" s="84"/>
      <c r="C552" s="70"/>
      <c r="D552" s="70"/>
      <c r="E552" s="94"/>
      <c r="F552" s="80"/>
      <c r="G552" s="80"/>
      <c r="H552" s="80"/>
      <c r="I552" s="80"/>
      <c r="J552" s="80"/>
      <c r="K552" s="80"/>
      <c r="L552" s="80"/>
    </row>
    <row r="553" spans="1:17" x14ac:dyDescent="0.35">
      <c r="A553" s="92"/>
      <c r="B553" s="92">
        <v>2</v>
      </c>
      <c r="C553" s="100">
        <v>1</v>
      </c>
      <c r="D553" s="100" t="s">
        <v>69</v>
      </c>
      <c r="E553" s="101" t="s">
        <v>1081</v>
      </c>
      <c r="F553" s="393" t="str">
        <f>+Volumenes!D167</f>
        <v>MAQ_L3</v>
      </c>
      <c r="G553" s="155">
        <f>VLOOKUP(F553,Volumenes!$D$19:$G$346,4,FALSE)</f>
        <v>2</v>
      </c>
      <c r="H553" s="102">
        <v>300</v>
      </c>
      <c r="I553" s="103">
        <f>(H553/Tiempos!$B$29)/60</f>
        <v>2.5641025641025639</v>
      </c>
      <c r="J553" s="111">
        <f>+I553*(1+Tiempos!$C$17)</f>
        <v>2.6987179487179485</v>
      </c>
      <c r="K553" s="103">
        <f t="shared" ref="K553:K558" si="85">+J553*G553</f>
        <v>5.3974358974358969</v>
      </c>
      <c r="L553" s="103">
        <f>+K553/Tiempos!$B$11</f>
        <v>1.1733556298773689E-2</v>
      </c>
      <c r="M553" s="262">
        <f>+K553/Tiempos!$B$12</f>
        <v>5.8667781493868445E-3</v>
      </c>
      <c r="N553" s="243"/>
      <c r="O553" s="262"/>
      <c r="P553" s="243"/>
      <c r="Q553" s="262"/>
    </row>
    <row r="554" spans="1:17" x14ac:dyDescent="0.35">
      <c r="A554" s="81"/>
      <c r="B554" s="81">
        <v>2</v>
      </c>
      <c r="C554" s="83">
        <v>1</v>
      </c>
      <c r="D554" s="83" t="s">
        <v>69</v>
      </c>
      <c r="E554" s="99" t="s">
        <v>928</v>
      </c>
      <c r="F554" s="391" t="str">
        <f>+F553</f>
        <v>MAQ_L3</v>
      </c>
      <c r="G554" s="180">
        <f>VLOOKUP(F554,Volumenes!$D$19:$G$346,4,FALSE)</f>
        <v>2</v>
      </c>
      <c r="H554" s="97"/>
      <c r="I554" s="98">
        <v>2</v>
      </c>
      <c r="J554" s="110">
        <f>+I554*(1+Tiempos!$C$17)</f>
        <v>2.105</v>
      </c>
      <c r="K554" s="98">
        <f t="shared" si="85"/>
        <v>4.21</v>
      </c>
      <c r="L554" s="98">
        <f>+K554/Tiempos!$B$11</f>
        <v>9.1521739130434789E-3</v>
      </c>
      <c r="M554" s="261">
        <f>+K554/Tiempos!$B$12</f>
        <v>4.5760869565217395E-3</v>
      </c>
      <c r="N554" s="238"/>
      <c r="O554" s="443"/>
      <c r="P554" s="238"/>
      <c r="Q554" s="261"/>
    </row>
    <row r="555" spans="1:17" x14ac:dyDescent="0.35">
      <c r="A555" s="92"/>
      <c r="B555" s="92">
        <v>2</v>
      </c>
      <c r="C555" s="100">
        <v>1</v>
      </c>
      <c r="D555" s="100" t="s">
        <v>69</v>
      </c>
      <c r="E555" s="101" t="s">
        <v>930</v>
      </c>
      <c r="F555" s="393" t="str">
        <f>+F554</f>
        <v>MAQ_L3</v>
      </c>
      <c r="G555" s="155">
        <f>VLOOKUP(F555,Volumenes!$D$19:$G$346,4,FALSE)</f>
        <v>2</v>
      </c>
      <c r="H555" s="102">
        <v>50</v>
      </c>
      <c r="I555" s="103">
        <f>(H555/Tiempos!$B$29)/60</f>
        <v>0.42735042735042739</v>
      </c>
      <c r="J555" s="111">
        <f>+I555*(1+Tiempos!$C$17)</f>
        <v>0.4497863247863248</v>
      </c>
      <c r="K555" s="103">
        <f t="shared" si="85"/>
        <v>0.8995726495726496</v>
      </c>
      <c r="L555" s="103">
        <f>+K555/Tiempos!$B$11</f>
        <v>1.9555927164622818E-3</v>
      </c>
      <c r="M555" s="262">
        <f>+K555/Tiempos!$B$12</f>
        <v>9.7779635823114089E-4</v>
      </c>
      <c r="N555" s="243"/>
      <c r="O555" s="444"/>
      <c r="P555" s="243"/>
      <c r="Q555" s="262"/>
    </row>
    <row r="556" spans="1:17" x14ac:dyDescent="0.35">
      <c r="A556" s="81"/>
      <c r="B556" s="81">
        <v>2</v>
      </c>
      <c r="C556" s="83">
        <v>1</v>
      </c>
      <c r="D556" s="83" t="s">
        <v>69</v>
      </c>
      <c r="E556" s="99" t="s">
        <v>789</v>
      </c>
      <c r="F556" s="391" t="str">
        <f>+F555</f>
        <v>MAQ_L3</v>
      </c>
      <c r="G556" s="180">
        <f>VLOOKUP(F556,Volumenes!$D$19:$G$346,4,FALSE)</f>
        <v>2</v>
      </c>
      <c r="H556" s="97"/>
      <c r="I556" s="98">
        <f>90/60</f>
        <v>1.5</v>
      </c>
      <c r="J556" s="110">
        <f>+I556*(1+Tiempos!$C$17)</f>
        <v>1.5787499999999999</v>
      </c>
      <c r="K556" s="98">
        <f t="shared" si="85"/>
        <v>3.1574999999999998</v>
      </c>
      <c r="L556" s="98">
        <f>+K556/Tiempos!$B$11</f>
        <v>6.8641304347826079E-3</v>
      </c>
      <c r="M556" s="261">
        <f>+K556/Tiempos!$B$12</f>
        <v>3.4320652173913039E-3</v>
      </c>
      <c r="N556" s="238"/>
      <c r="O556" s="443"/>
      <c r="P556" s="238"/>
      <c r="Q556" s="261"/>
    </row>
    <row r="557" spans="1:17" x14ac:dyDescent="0.35">
      <c r="A557" s="81"/>
      <c r="B557" s="81">
        <v>2</v>
      </c>
      <c r="C557" s="83">
        <v>1</v>
      </c>
      <c r="D557" s="83" t="s">
        <v>69</v>
      </c>
      <c r="E557" s="99" t="s">
        <v>929</v>
      </c>
      <c r="F557" s="391" t="str">
        <f>+F556</f>
        <v>MAQ_L3</v>
      </c>
      <c r="G557" s="180">
        <f>VLOOKUP(F557,Volumenes!$D$19:$G$346,4,FALSE)</f>
        <v>2</v>
      </c>
      <c r="H557" s="97"/>
      <c r="I557" s="98">
        <v>1.5</v>
      </c>
      <c r="J557" s="110">
        <f>+I557*(1+Tiempos!$C$17)</f>
        <v>1.5787499999999999</v>
      </c>
      <c r="K557" s="98">
        <f t="shared" si="85"/>
        <v>3.1574999999999998</v>
      </c>
      <c r="L557" s="98">
        <f>+K557/Tiempos!$B$11</f>
        <v>6.8641304347826079E-3</v>
      </c>
      <c r="M557" s="261">
        <f>+K557/Tiempos!$B$12</f>
        <v>3.4320652173913039E-3</v>
      </c>
      <c r="N557" s="238"/>
      <c r="O557" s="443"/>
      <c r="P557" s="238"/>
      <c r="Q557" s="261"/>
    </row>
    <row r="558" spans="1:17" x14ac:dyDescent="0.35">
      <c r="A558" s="81"/>
      <c r="B558" s="81">
        <v>2</v>
      </c>
      <c r="C558" s="83">
        <v>1</v>
      </c>
      <c r="D558" s="83" t="s">
        <v>69</v>
      </c>
      <c r="E558" s="99" t="s">
        <v>931</v>
      </c>
      <c r="F558" s="391" t="str">
        <f>+F557</f>
        <v>MAQ_L3</v>
      </c>
      <c r="G558" s="180">
        <f>VLOOKUP(F558,Volumenes!$D$19:$G$346,4,FALSE)</f>
        <v>2</v>
      </c>
      <c r="H558" s="97"/>
      <c r="I558" s="98">
        <f>20/60</f>
        <v>0.33333333333333331</v>
      </c>
      <c r="J558" s="110">
        <f>+I558*(1+Tiempos!$C$17)</f>
        <v>0.35083333333333333</v>
      </c>
      <c r="K558" s="98">
        <f t="shared" si="85"/>
        <v>0.70166666666666666</v>
      </c>
      <c r="L558" s="98">
        <f>+K558/Tiempos!$B$11</f>
        <v>1.5253623188405797E-3</v>
      </c>
      <c r="M558" s="261">
        <f>+K558/Tiempos!$B$12</f>
        <v>7.6268115942028987E-4</v>
      </c>
      <c r="N558" s="484"/>
      <c r="O558" s="485"/>
      <c r="P558" s="484"/>
      <c r="Q558" s="483"/>
    </row>
    <row r="559" spans="1:17" x14ac:dyDescent="0.35">
      <c r="A559" s="75"/>
      <c r="B559" s="75"/>
      <c r="E559" s="104"/>
      <c r="F559" s="75"/>
      <c r="G559" s="108"/>
      <c r="H559" s="105"/>
      <c r="I559" s="106"/>
      <c r="J559" s="107"/>
      <c r="K559" s="109"/>
      <c r="L559" s="308">
        <f>SUM(L553:L558)</f>
        <v>3.8094946116685242E-2</v>
      </c>
      <c r="M559" s="308">
        <f>SUM(M553:M558)</f>
        <v>1.9047473058342621E-2</v>
      </c>
      <c r="N559" s="437"/>
      <c r="O559" s="437"/>
      <c r="P559" s="437"/>
      <c r="Q559" s="437"/>
    </row>
    <row r="560" spans="1:17" x14ac:dyDescent="0.35">
      <c r="A560" s="75"/>
      <c r="B560" s="75"/>
      <c r="E560" s="104"/>
      <c r="F560" s="75"/>
      <c r="G560" s="108"/>
      <c r="H560" s="105"/>
      <c r="I560" s="106"/>
      <c r="J560" s="107"/>
      <c r="K560" s="109"/>
      <c r="L560" s="109"/>
      <c r="M560" s="109"/>
      <c r="N560" s="249"/>
      <c r="O560" s="249"/>
      <c r="P560" s="249"/>
      <c r="Q560" s="249"/>
    </row>
    <row r="561" spans="1:17" ht="13.15" x14ac:dyDescent="0.4">
      <c r="A561" s="296" t="s">
        <v>894</v>
      </c>
      <c r="B561" s="179"/>
      <c r="E561" s="120"/>
      <c r="F561" s="75"/>
      <c r="G561" s="152"/>
      <c r="H561" s="177"/>
      <c r="I561" s="109"/>
      <c r="J561" s="107"/>
      <c r="K561" s="162"/>
      <c r="L561" s="109"/>
      <c r="M561" s="45"/>
      <c r="N561" s="45"/>
      <c r="O561" s="45"/>
      <c r="P561" s="45"/>
      <c r="Q561" s="45"/>
    </row>
    <row r="562" spans="1:17" s="70" customFormat="1" x14ac:dyDescent="0.35">
      <c r="A562" s="92"/>
      <c r="B562" s="92">
        <v>2</v>
      </c>
      <c r="C562" s="100">
        <v>1</v>
      </c>
      <c r="D562" s="100" t="s">
        <v>46</v>
      </c>
      <c r="E562" s="112" t="s">
        <v>933</v>
      </c>
      <c r="F562" s="100" t="str">
        <f>+Volumenes!D26</f>
        <v>CAMION CHAPA</v>
      </c>
      <c r="G562" s="144">
        <f>VLOOKUP(F562,Volumenes!$D$19:$G$346,4,FALSE)</f>
        <v>4</v>
      </c>
      <c r="H562" s="155">
        <v>200</v>
      </c>
      <c r="I562" s="103">
        <f>+(H562/Tiempos!$B$29)/60</f>
        <v>1.7094017094017095</v>
      </c>
      <c r="J562" s="111">
        <f>+I562*(1+Tiempos!$C$17)</f>
        <v>1.7991452991452992</v>
      </c>
      <c r="K562" s="146">
        <f>+J562*G562</f>
        <v>7.1965811965811968</v>
      </c>
      <c r="L562" s="103">
        <f>+K562/Tiempos!$B$11</f>
        <v>1.5644741731698254E-2</v>
      </c>
      <c r="M562" s="262">
        <f>+K562/Tiempos!$B$12</f>
        <v>7.8223708658491271E-3</v>
      </c>
      <c r="N562" s="234"/>
      <c r="O562" s="234"/>
      <c r="P562" s="234"/>
      <c r="Q562" s="234"/>
    </row>
    <row r="563" spans="1:17" s="70" customFormat="1" x14ac:dyDescent="0.35">
      <c r="A563" s="81"/>
      <c r="B563" s="81">
        <v>2</v>
      </c>
      <c r="C563" s="83">
        <v>1</v>
      </c>
      <c r="D563" s="83" t="s">
        <v>327</v>
      </c>
      <c r="E563" s="113" t="s">
        <v>79</v>
      </c>
      <c r="F563" s="83" t="str">
        <f>+Volumenes!D39</f>
        <v>CHA_SANT_2D_EST</v>
      </c>
      <c r="G563" s="143">
        <f>VLOOKUP(F563,Volumenes!$D$19:$G$346,4,FALSE)</f>
        <v>17.125435434131088</v>
      </c>
      <c r="H563" s="97"/>
      <c r="I563" s="98">
        <f>30/60</f>
        <v>0.5</v>
      </c>
      <c r="J563" s="110">
        <f>+I563*(1+Tiempos!$C$17)</f>
        <v>0.52625</v>
      </c>
      <c r="K563" s="123">
        <f t="shared" ref="K563:K576" si="86">+J563*G563</f>
        <v>9.0122603972114845</v>
      </c>
      <c r="L563" s="98">
        <f>+K563/Tiempos!$B$11</f>
        <v>1.9591870428720619E-2</v>
      </c>
      <c r="M563" s="261">
        <f>+K563/Tiempos!$B$12</f>
        <v>9.7959352143603094E-3</v>
      </c>
      <c r="N563" s="236"/>
      <c r="O563" s="236"/>
      <c r="P563" s="236"/>
      <c r="Q563" s="236"/>
    </row>
    <row r="564" spans="1:17" s="70" customFormat="1" x14ac:dyDescent="0.35">
      <c r="A564" s="92"/>
      <c r="B564" s="92">
        <v>2</v>
      </c>
      <c r="C564" s="100">
        <v>1</v>
      </c>
      <c r="D564" s="100" t="s">
        <v>327</v>
      </c>
      <c r="E564" s="112" t="s">
        <v>934</v>
      </c>
      <c r="F564" s="100" t="str">
        <f>+F563</f>
        <v>CHA_SANT_2D_EST</v>
      </c>
      <c r="G564" s="144">
        <f>VLOOKUP(F564,Volumenes!$D$19:$G$346,4,FALSE)</f>
        <v>17.125435434131088</v>
      </c>
      <c r="H564" s="155">
        <v>10</v>
      </c>
      <c r="I564" s="103">
        <f>VLOOKUP(F564,Tiempos!$D$42:$F$111,3,FALSE)</f>
        <v>0.99145299145299148</v>
      </c>
      <c r="J564" s="111">
        <f>+I564*(1+Tiempos!$C$17)</f>
        <v>1.0435042735042734</v>
      </c>
      <c r="K564" s="146">
        <f t="shared" si="86"/>
        <v>17.870465061137303</v>
      </c>
      <c r="L564" s="103">
        <f>+K564/Tiempos!$B$11</f>
        <v>3.884883708942892E-2</v>
      </c>
      <c r="M564" s="262">
        <f>+K564/Tiempos!$B$12</f>
        <v>1.942441854471446E-2</v>
      </c>
      <c r="N564" s="237"/>
      <c r="O564" s="237"/>
      <c r="P564" s="237"/>
      <c r="Q564" s="237"/>
    </row>
    <row r="565" spans="1:17" s="70" customFormat="1" x14ac:dyDescent="0.35">
      <c r="A565" s="81"/>
      <c r="B565" s="81">
        <v>2</v>
      </c>
      <c r="C565" s="83">
        <v>1</v>
      </c>
      <c r="D565" s="83" t="s">
        <v>327</v>
      </c>
      <c r="E565" s="113" t="s">
        <v>81</v>
      </c>
      <c r="F565" s="83" t="str">
        <f>+F564</f>
        <v>CHA_SANT_2D_EST</v>
      </c>
      <c r="G565" s="143">
        <f>VLOOKUP(F565,Volumenes!$D$19:$G$346,4,FALSE)</f>
        <v>17.125435434131088</v>
      </c>
      <c r="H565" s="97"/>
      <c r="I565" s="98">
        <f>15/60</f>
        <v>0.25</v>
      </c>
      <c r="J565" s="110">
        <f>+I565*(1+Tiempos!$C$17)</f>
        <v>0.263125</v>
      </c>
      <c r="K565" s="123">
        <f t="shared" si="86"/>
        <v>4.5061301986057423</v>
      </c>
      <c r="L565" s="98">
        <f>+K565/Tiempos!$B$11</f>
        <v>9.7959352143603094E-3</v>
      </c>
      <c r="M565" s="261">
        <f>+K565/Tiempos!$B$12</f>
        <v>4.8979676071801547E-3</v>
      </c>
      <c r="N565" s="236"/>
      <c r="O565" s="236"/>
      <c r="P565" s="236"/>
      <c r="Q565" s="236"/>
    </row>
    <row r="566" spans="1:17" s="70" customFormat="1" x14ac:dyDescent="0.35">
      <c r="A566" s="81"/>
      <c r="B566" s="81">
        <v>2</v>
      </c>
      <c r="C566" s="83">
        <v>1</v>
      </c>
      <c r="D566" s="83" t="s">
        <v>46</v>
      </c>
      <c r="E566" s="113" t="s">
        <v>452</v>
      </c>
      <c r="F566" s="83" t="str">
        <f>+Volumenes!D26</f>
        <v>CAMION CHAPA</v>
      </c>
      <c r="G566" s="143">
        <f>VLOOKUP(F566,Volumenes!$D$19:$G$346,4,FALSE)</f>
        <v>4</v>
      </c>
      <c r="H566" s="97"/>
      <c r="I566" s="98">
        <f>5/60</f>
        <v>8.3333333333333329E-2</v>
      </c>
      <c r="J566" s="110">
        <f>+I566*(1+Tiempos!$C$17)</f>
        <v>8.7708333333333333E-2</v>
      </c>
      <c r="K566" s="123">
        <f t="shared" si="86"/>
        <v>0.35083333333333333</v>
      </c>
      <c r="L566" s="98">
        <f>+K566/Tiempos!$B$11</f>
        <v>7.6268115942028987E-4</v>
      </c>
      <c r="M566" s="261">
        <f>+K566/Tiempos!$B$12</f>
        <v>3.8134057971014494E-4</v>
      </c>
      <c r="N566" s="236"/>
      <c r="O566" s="236"/>
      <c r="P566" s="236"/>
      <c r="Q566" s="236"/>
    </row>
    <row r="567" spans="1:17" s="70" customFormat="1" x14ac:dyDescent="0.35">
      <c r="A567" s="81"/>
      <c r="B567" s="81">
        <v>2</v>
      </c>
      <c r="C567" s="83">
        <v>1</v>
      </c>
      <c r="D567" s="83" t="s">
        <v>46</v>
      </c>
      <c r="E567" s="113" t="s">
        <v>450</v>
      </c>
      <c r="F567" s="83" t="str">
        <f>+F566</f>
        <v>CAMION CHAPA</v>
      </c>
      <c r="G567" s="143">
        <f>VLOOKUP(F567,Volumenes!$D$19:$G$346,4,FALSE)</f>
        <v>4</v>
      </c>
      <c r="H567" s="97"/>
      <c r="I567" s="98">
        <v>5</v>
      </c>
      <c r="J567" s="110">
        <f>+I567*(1+Tiempos!$C$17)</f>
        <v>5.2625000000000002</v>
      </c>
      <c r="K567" s="123">
        <f t="shared" si="86"/>
        <v>21.05</v>
      </c>
      <c r="L567" s="98">
        <f>+K567/Tiempos!$B$11</f>
        <v>4.5760869565217389E-2</v>
      </c>
      <c r="M567" s="261">
        <f>+K567/Tiempos!$B$12</f>
        <v>2.2880434782608695E-2</v>
      </c>
      <c r="N567" s="236"/>
      <c r="O567" s="236"/>
      <c r="P567" s="236"/>
      <c r="Q567" s="236"/>
    </row>
    <row r="568" spans="1:17" x14ac:dyDescent="0.35">
      <c r="A568" s="81"/>
      <c r="B568" s="81">
        <v>2</v>
      </c>
      <c r="C568" s="83">
        <v>1</v>
      </c>
      <c r="D568" s="83" t="s">
        <v>46</v>
      </c>
      <c r="E568" s="113" t="s">
        <v>449</v>
      </c>
      <c r="F568" s="81" t="str">
        <f>+F566</f>
        <v>CAMION CHAPA</v>
      </c>
      <c r="G568" s="143">
        <f>VLOOKUP(F568,Volumenes!$D$19:$G$346,4,FALSE)</f>
        <v>4</v>
      </c>
      <c r="H568" s="97"/>
      <c r="I568" s="98">
        <f>8/60</f>
        <v>0.13333333333333333</v>
      </c>
      <c r="J568" s="110">
        <f>+I568*(1+Tiempos!$C$17)</f>
        <v>0.14033333333333334</v>
      </c>
      <c r="K568" s="123">
        <f t="shared" si="86"/>
        <v>0.56133333333333335</v>
      </c>
      <c r="L568" s="98">
        <f>+K568/Tiempos!$B$11</f>
        <v>1.2202898550724638E-3</v>
      </c>
      <c r="M568" s="261">
        <f>+K568/Tiempos!$B$12</f>
        <v>6.1014492753623192E-4</v>
      </c>
      <c r="N568" s="236"/>
      <c r="O568" s="236"/>
      <c r="P568" s="236"/>
      <c r="Q568" s="236"/>
    </row>
    <row r="569" spans="1:17" x14ac:dyDescent="0.35">
      <c r="A569" s="81"/>
      <c r="B569" s="81">
        <v>2</v>
      </c>
      <c r="C569" s="83">
        <v>1</v>
      </c>
      <c r="D569" s="83" t="s">
        <v>46</v>
      </c>
      <c r="E569" s="113" t="s">
        <v>456</v>
      </c>
      <c r="F569" s="81" t="str">
        <f>+Volumenes!D39</f>
        <v>CHA_SANT_2D_EST</v>
      </c>
      <c r="G569" s="143">
        <f>VLOOKUP(F569,Volumenes!$D$19:$G$346,4,FALSE)</f>
        <v>17.125435434131088</v>
      </c>
      <c r="H569" s="97"/>
      <c r="I569" s="98">
        <f>6/60</f>
        <v>0.1</v>
      </c>
      <c r="J569" s="110">
        <f>+I569*(1+Tiempos!$C$17)</f>
        <v>0.10525000000000001</v>
      </c>
      <c r="K569" s="123">
        <f t="shared" si="86"/>
        <v>1.8024520794422971</v>
      </c>
      <c r="L569" s="98">
        <f>+K569/Tiempos!$B$11</f>
        <v>3.9183740857441241E-3</v>
      </c>
      <c r="M569" s="261">
        <f>+K569/Tiempos!$B$12</f>
        <v>1.9591870428720621E-3</v>
      </c>
      <c r="N569" s="236"/>
      <c r="O569" s="236"/>
      <c r="P569" s="236"/>
      <c r="Q569" s="236"/>
    </row>
    <row r="570" spans="1:17" x14ac:dyDescent="0.35">
      <c r="A570" s="81"/>
      <c r="B570" s="81">
        <v>2</v>
      </c>
      <c r="C570" s="83">
        <v>1</v>
      </c>
      <c r="D570" s="83" t="s">
        <v>46</v>
      </c>
      <c r="E570" s="113" t="s">
        <v>182</v>
      </c>
      <c r="F570" s="81" t="str">
        <f>+Volumenes!D26</f>
        <v>CAMION CHAPA</v>
      </c>
      <c r="G570" s="143">
        <f>VLOOKUP(F570,Volumenes!$D$19:$G$346,4,FALSE)</f>
        <v>4</v>
      </c>
      <c r="H570" s="97"/>
      <c r="I570" s="98">
        <f>10/60</f>
        <v>0.16666666666666666</v>
      </c>
      <c r="J570" s="110">
        <f>+I570*(1+Tiempos!$C$17)</f>
        <v>0.17541666666666667</v>
      </c>
      <c r="K570" s="123">
        <f t="shared" si="86"/>
        <v>0.70166666666666666</v>
      </c>
      <c r="L570" s="98">
        <f>+K570/Tiempos!$B$11</f>
        <v>1.5253623188405797E-3</v>
      </c>
      <c r="M570" s="261">
        <f>+K570/Tiempos!$B$12</f>
        <v>7.6268115942028987E-4</v>
      </c>
      <c r="N570" s="236"/>
      <c r="O570" s="236"/>
      <c r="P570" s="236"/>
      <c r="Q570" s="236"/>
    </row>
    <row r="571" spans="1:17" x14ac:dyDescent="0.35">
      <c r="A571" s="81"/>
      <c r="B571" s="81">
        <v>2</v>
      </c>
      <c r="C571" s="83">
        <v>1</v>
      </c>
      <c r="D571" s="83" t="s">
        <v>46</v>
      </c>
      <c r="E571" s="113" t="s">
        <v>453</v>
      </c>
      <c r="F571" s="81" t="str">
        <f>+Volumenes!D39</f>
        <v>CHA_SANT_2D_EST</v>
      </c>
      <c r="G571" s="143">
        <f>VLOOKUP(F571,Volumenes!$D$19:$G$346,4,FALSE)</f>
        <v>17.125435434131088</v>
      </c>
      <c r="H571" s="97"/>
      <c r="I571" s="98">
        <f>15/60</f>
        <v>0.25</v>
      </c>
      <c r="J571" s="110">
        <f>+I571*(1+Tiempos!$C$17)</f>
        <v>0.263125</v>
      </c>
      <c r="K571" s="123">
        <f t="shared" si="86"/>
        <v>4.5061301986057423</v>
      </c>
      <c r="L571" s="98">
        <f>+K571/Tiempos!$B$11</f>
        <v>9.7959352143603094E-3</v>
      </c>
      <c r="M571" s="261">
        <f>+K571/Tiempos!$B$12</f>
        <v>4.8979676071801547E-3</v>
      </c>
      <c r="N571" s="236"/>
      <c r="O571" s="236"/>
      <c r="P571" s="236"/>
      <c r="Q571" s="236"/>
    </row>
    <row r="572" spans="1:17" x14ac:dyDescent="0.35">
      <c r="A572" s="92"/>
      <c r="B572" s="92">
        <v>2</v>
      </c>
      <c r="C572" s="100">
        <v>1</v>
      </c>
      <c r="D572" s="100" t="s">
        <v>46</v>
      </c>
      <c r="E572" s="112" t="s">
        <v>935</v>
      </c>
      <c r="F572" s="92" t="str">
        <f>+F571</f>
        <v>CHA_SANT_2D_EST</v>
      </c>
      <c r="G572" s="144">
        <f>VLOOKUP(F572,Volumenes!$D$19:$G$346,4,FALSE)</f>
        <v>17.125435434131088</v>
      </c>
      <c r="H572" s="102">
        <v>85</v>
      </c>
      <c r="I572" s="103">
        <f>+(H572/Tiempos!$B$29)/60</f>
        <v>0.72649572649572647</v>
      </c>
      <c r="J572" s="111">
        <f>+I572*(1+Tiempos!$C$17)</f>
        <v>0.76463675213675208</v>
      </c>
      <c r="K572" s="146">
        <f t="shared" si="86"/>
        <v>13.094737329281644</v>
      </c>
      <c r="L572" s="103">
        <f>+K572/Tiempos!$B$11</f>
        <v>2.8466820281047051E-2</v>
      </c>
      <c r="M572" s="262">
        <f>+K572/Tiempos!$B$12</f>
        <v>1.4233410140523525E-2</v>
      </c>
      <c r="N572" s="237"/>
      <c r="O572" s="237"/>
      <c r="P572" s="237"/>
      <c r="Q572" s="237"/>
    </row>
    <row r="573" spans="1:17" x14ac:dyDescent="0.35">
      <c r="A573" s="81"/>
      <c r="B573" s="81">
        <v>2</v>
      </c>
      <c r="C573" s="83">
        <v>1</v>
      </c>
      <c r="D573" s="83" t="s">
        <v>46</v>
      </c>
      <c r="E573" s="114" t="s">
        <v>455</v>
      </c>
      <c r="F573" s="81" t="str">
        <f>+F572</f>
        <v>CHA_SANT_2D_EST</v>
      </c>
      <c r="G573" s="143">
        <f>VLOOKUP(F573,Volumenes!$D$19:$G$346,4,FALSE)</f>
        <v>17.125435434131088</v>
      </c>
      <c r="H573" s="97"/>
      <c r="I573" s="98">
        <f>40/60</f>
        <v>0.66666666666666663</v>
      </c>
      <c r="J573" s="110">
        <f>+I573*(1+Tiempos!$C$17)</f>
        <v>0.70166666666666666</v>
      </c>
      <c r="K573" s="123">
        <f t="shared" si="86"/>
        <v>12.016347196281981</v>
      </c>
      <c r="L573" s="98">
        <f>+K573/Tiempos!$B$11</f>
        <v>2.6122493904960829E-2</v>
      </c>
      <c r="M573" s="261">
        <f>+K573/Tiempos!$B$12</f>
        <v>1.3061246952480414E-2</v>
      </c>
      <c r="N573" s="236"/>
      <c r="O573" s="236"/>
      <c r="P573" s="236"/>
      <c r="Q573" s="236"/>
    </row>
    <row r="574" spans="1:17" x14ac:dyDescent="0.35">
      <c r="A574" s="92"/>
      <c r="B574" s="92">
        <v>2</v>
      </c>
      <c r="C574" s="100">
        <v>1</v>
      </c>
      <c r="D574" s="100" t="s">
        <v>327</v>
      </c>
      <c r="E574" s="178" t="s">
        <v>889</v>
      </c>
      <c r="F574" s="92" t="str">
        <f>+Volumenes!D26</f>
        <v>CAMION CHAPA</v>
      </c>
      <c r="G574" s="144">
        <f>VLOOKUP(F574,Volumenes!$D$19:$G$346,4,FALSE)</f>
        <v>4</v>
      </c>
      <c r="H574" s="102">
        <v>10</v>
      </c>
      <c r="I574" s="103">
        <f>VLOOKUP(F574,Tiempos!$D$42:$F$157,3,FALSE)</f>
        <v>0.22644927536231885</v>
      </c>
      <c r="J574" s="111">
        <f>+I574*(1+Tiempos!$C$17)</f>
        <v>0.23833786231884058</v>
      </c>
      <c r="K574" s="146">
        <f t="shared" si="86"/>
        <v>0.95335144927536231</v>
      </c>
      <c r="L574" s="103">
        <f>+K574/Tiempos!$B$11</f>
        <v>2.0725031505986137E-3</v>
      </c>
      <c r="M574" s="262">
        <f>+K574/Tiempos!$B$12</f>
        <v>1.0362515752993069E-3</v>
      </c>
      <c r="N574" s="237"/>
      <c r="O574" s="237"/>
      <c r="P574" s="237"/>
      <c r="Q574" s="237"/>
    </row>
    <row r="575" spans="1:17" x14ac:dyDescent="0.35">
      <c r="A575" s="81"/>
      <c r="B575" s="81">
        <v>2</v>
      </c>
      <c r="C575" s="83">
        <v>1</v>
      </c>
      <c r="D575" s="83" t="s">
        <v>327</v>
      </c>
      <c r="E575" s="114" t="s">
        <v>890</v>
      </c>
      <c r="F575" s="81" t="str">
        <f>+Volumenes!D41</f>
        <v>BUL_VAC</v>
      </c>
      <c r="G575" s="143">
        <f>VLOOKUP(F575,Volumenes!$D$19:$G$346,4,FALSE)</f>
        <v>32.34804470891428</v>
      </c>
      <c r="H575" s="97"/>
      <c r="I575" s="98">
        <f>15/60</f>
        <v>0.25</v>
      </c>
      <c r="J575" s="110">
        <f>+I575*(1+Tiempos!$C$17)</f>
        <v>0.263125</v>
      </c>
      <c r="K575" s="123">
        <f t="shared" si="86"/>
        <v>8.5115792640330703</v>
      </c>
      <c r="L575" s="98">
        <f>+K575/Tiempos!$B$11</f>
        <v>1.8503433182680589E-2</v>
      </c>
      <c r="M575" s="261">
        <f>+K575/Tiempos!$B$12</f>
        <v>9.2517165913402945E-3</v>
      </c>
      <c r="N575" s="236"/>
      <c r="O575" s="236"/>
      <c r="P575" s="236"/>
      <c r="Q575" s="236"/>
    </row>
    <row r="576" spans="1:17" x14ac:dyDescent="0.35">
      <c r="A576" s="81"/>
      <c r="B576" s="81">
        <v>2</v>
      </c>
      <c r="C576" s="83">
        <v>1</v>
      </c>
      <c r="D576" s="83" t="s">
        <v>327</v>
      </c>
      <c r="E576" s="114" t="s">
        <v>891</v>
      </c>
      <c r="F576" s="81" t="str">
        <f>+F575</f>
        <v>BUL_VAC</v>
      </c>
      <c r="G576" s="143">
        <f>VLOOKUP(F576,Volumenes!$D$19:$G$346,4,FALSE)</f>
        <v>32.34804470891428</v>
      </c>
      <c r="H576" s="97"/>
      <c r="I576" s="98">
        <f>20/60</f>
        <v>0.33333333333333331</v>
      </c>
      <c r="J576" s="110">
        <f>+I576*(1+Tiempos!$C$17)</f>
        <v>0.35083333333333333</v>
      </c>
      <c r="K576" s="123">
        <f t="shared" si="86"/>
        <v>11.348772352044094</v>
      </c>
      <c r="L576" s="98">
        <f>+K576/Tiempos!$B$11</f>
        <v>2.4671244243574118E-2</v>
      </c>
      <c r="M576" s="261">
        <f>+K576/Tiempos!$B$12</f>
        <v>1.2335622121787059E-2</v>
      </c>
      <c r="N576" s="236"/>
      <c r="O576" s="236"/>
      <c r="P576" s="236"/>
      <c r="Q576" s="236"/>
    </row>
    <row r="577" spans="1:17" x14ac:dyDescent="0.35">
      <c r="A577" s="75"/>
      <c r="B577" s="75"/>
      <c r="E577" s="120"/>
      <c r="F577" s="75"/>
      <c r="G577" s="152"/>
      <c r="H577" s="105"/>
      <c r="I577" s="109"/>
      <c r="J577" s="107"/>
      <c r="K577" s="162"/>
      <c r="L577" s="308">
        <f>SUM(L562:L576)</f>
        <v>0.24670139142572445</v>
      </c>
      <c r="M577" s="308">
        <f>SUM(M562:M576)</f>
        <v>0.12335069571286222</v>
      </c>
      <c r="N577" s="295"/>
      <c r="O577" s="295"/>
      <c r="P577" s="295"/>
      <c r="Q577" s="295"/>
    </row>
    <row r="578" spans="1:17" x14ac:dyDescent="0.35">
      <c r="A578" s="75"/>
      <c r="B578" s="75"/>
      <c r="E578" s="104"/>
      <c r="F578" s="75"/>
      <c r="G578" s="108"/>
      <c r="H578" s="105"/>
      <c r="I578" s="106"/>
      <c r="J578" s="107"/>
      <c r="K578" s="109"/>
      <c r="L578" s="109"/>
      <c r="M578" s="109"/>
      <c r="N578" s="249"/>
      <c r="O578" s="249"/>
      <c r="P578" s="249"/>
      <c r="Q578" s="249"/>
    </row>
    <row r="579" spans="1:17" ht="13.15" x14ac:dyDescent="0.4">
      <c r="A579" s="296" t="s">
        <v>936</v>
      </c>
      <c r="B579" s="179"/>
      <c r="E579" s="120"/>
      <c r="F579" s="75"/>
      <c r="G579" s="152"/>
      <c r="H579" s="177"/>
      <c r="I579" s="109"/>
      <c r="J579" s="107"/>
      <c r="K579" s="162"/>
      <c r="L579" s="109"/>
      <c r="M579" s="45"/>
      <c r="N579" s="45"/>
      <c r="O579" s="45"/>
      <c r="P579" s="45"/>
      <c r="Q579" s="45"/>
    </row>
    <row r="580" spans="1:17" s="70" customFormat="1" x14ac:dyDescent="0.35">
      <c r="A580" s="92"/>
      <c r="B580" s="92">
        <v>2</v>
      </c>
      <c r="C580" s="100">
        <v>1</v>
      </c>
      <c r="D580" s="100" t="s">
        <v>327</v>
      </c>
      <c r="E580" s="112" t="s">
        <v>937</v>
      </c>
      <c r="F580" s="477" t="str">
        <f>+Volumenes!D222</f>
        <v>DEV_DIA</v>
      </c>
      <c r="G580" s="144">
        <f>VLOOKUP(F580,Volumenes!$D$19:$G$346,4,FALSE)</f>
        <v>2</v>
      </c>
      <c r="H580" s="155">
        <v>100</v>
      </c>
      <c r="I580" s="103">
        <f>+(H580/Tiempos!$B$29)/60</f>
        <v>0.85470085470085477</v>
      </c>
      <c r="J580" s="111">
        <f>+I580*(1+Tiempos!$C$17)</f>
        <v>0.8995726495726496</v>
      </c>
      <c r="K580" s="146">
        <f>+J580*G580</f>
        <v>1.7991452991452992</v>
      </c>
      <c r="L580" s="103">
        <f>+K580/Tiempos!$B$11</f>
        <v>3.9111854329245636E-3</v>
      </c>
      <c r="M580" s="262">
        <f>+K580/Tiempos!$B$12</f>
        <v>1.9555927164622818E-3</v>
      </c>
      <c r="N580" s="234"/>
      <c r="O580" s="234"/>
      <c r="P580" s="234"/>
      <c r="Q580" s="234"/>
    </row>
    <row r="581" spans="1:17" s="70" customFormat="1" x14ac:dyDescent="0.35">
      <c r="A581" s="81"/>
      <c r="B581" s="81">
        <v>2</v>
      </c>
      <c r="C581" s="83">
        <v>1</v>
      </c>
      <c r="D581" s="83" t="s">
        <v>46</v>
      </c>
      <c r="E581" s="113" t="s">
        <v>452</v>
      </c>
      <c r="F581" s="478" t="str">
        <f>+F580</f>
        <v>DEV_DIA</v>
      </c>
      <c r="G581" s="143">
        <f>VLOOKUP(F581,Volumenes!$D$19:$G$346,4,FALSE)</f>
        <v>2</v>
      </c>
      <c r="H581" s="180"/>
      <c r="I581" s="98">
        <f>10/60</f>
        <v>0.16666666666666666</v>
      </c>
      <c r="J581" s="110">
        <f>+I581*(1+Tiempos!$C$17)</f>
        <v>0.17541666666666667</v>
      </c>
      <c r="K581" s="123">
        <f t="shared" ref="K581:K585" si="87">+J581*G581</f>
        <v>0.35083333333333333</v>
      </c>
      <c r="L581" s="98">
        <f>+K581/Tiempos!$B$11</f>
        <v>7.6268115942028987E-4</v>
      </c>
      <c r="M581" s="261">
        <f>+K581/Tiempos!$B$12</f>
        <v>3.8134057971014494E-4</v>
      </c>
      <c r="N581" s="233"/>
      <c r="O581" s="233"/>
      <c r="P581" s="233"/>
      <c r="Q581" s="233"/>
    </row>
    <row r="582" spans="1:17" s="70" customFormat="1" x14ac:dyDescent="0.35">
      <c r="A582" s="81"/>
      <c r="B582" s="81">
        <v>2</v>
      </c>
      <c r="C582" s="83">
        <v>1</v>
      </c>
      <c r="D582" s="83" t="s">
        <v>46</v>
      </c>
      <c r="E582" s="113" t="s">
        <v>945</v>
      </c>
      <c r="F582" s="478" t="str">
        <f>+F583</f>
        <v>DEV_CAL</v>
      </c>
      <c r="G582" s="143">
        <f>VLOOKUP(F582,Volumenes!$D$19:$G$346,4,FALSE)</f>
        <v>8</v>
      </c>
      <c r="H582" s="180"/>
      <c r="I582" s="98">
        <f>35/60</f>
        <v>0.58333333333333337</v>
      </c>
      <c r="J582" s="110">
        <f>+I582*(1+Tiempos!$C$17)</f>
        <v>0.61395833333333338</v>
      </c>
      <c r="K582" s="123">
        <f t="shared" si="87"/>
        <v>4.9116666666666671</v>
      </c>
      <c r="L582" s="98">
        <f>+K582/Tiempos!$B$11</f>
        <v>1.0677536231884058E-2</v>
      </c>
      <c r="M582" s="261">
        <f>+K582/Tiempos!$B$12</f>
        <v>5.3387681159420292E-3</v>
      </c>
      <c r="N582" s="233"/>
      <c r="O582" s="233"/>
      <c r="P582" s="233"/>
      <c r="Q582" s="233"/>
    </row>
    <row r="583" spans="1:17" s="70" customFormat="1" x14ac:dyDescent="0.35">
      <c r="A583" s="81"/>
      <c r="B583" s="81">
        <v>2</v>
      </c>
      <c r="C583" s="83">
        <v>1</v>
      </c>
      <c r="D583" s="83" t="s">
        <v>327</v>
      </c>
      <c r="E583" s="113" t="s">
        <v>946</v>
      </c>
      <c r="F583" s="478" t="str">
        <f>+Volumenes!D221</f>
        <v>DEV_CAL</v>
      </c>
      <c r="G583" s="143">
        <f>VLOOKUP(F583,Volumenes!$D$19:$G$346,4,FALSE)</f>
        <v>8</v>
      </c>
      <c r="H583" s="97"/>
      <c r="I583" s="98">
        <f>30/60</f>
        <v>0.5</v>
      </c>
      <c r="J583" s="110">
        <f>+I583*(1+Tiempos!$C$17)</f>
        <v>0.52625</v>
      </c>
      <c r="K583" s="123">
        <f t="shared" si="87"/>
        <v>4.21</v>
      </c>
      <c r="L583" s="98">
        <f>+K583/Tiempos!$B$11</f>
        <v>9.1521739130434789E-3</v>
      </c>
      <c r="M583" s="261">
        <f>+K583/Tiempos!$B$12</f>
        <v>4.5760869565217395E-3</v>
      </c>
      <c r="N583" s="236"/>
      <c r="O583" s="236"/>
      <c r="P583" s="236"/>
      <c r="Q583" s="236"/>
    </row>
    <row r="584" spans="1:17" s="70" customFormat="1" x14ac:dyDescent="0.35">
      <c r="A584" s="92"/>
      <c r="B584" s="92">
        <v>2</v>
      </c>
      <c r="C584" s="100">
        <v>1</v>
      </c>
      <c r="D584" s="100" t="s">
        <v>327</v>
      </c>
      <c r="E584" s="112" t="s">
        <v>943</v>
      </c>
      <c r="F584" s="477" t="str">
        <f>+F583</f>
        <v>DEV_CAL</v>
      </c>
      <c r="G584" s="144">
        <f>VLOOKUP(F584,Volumenes!$D$19:$G$346,4,FALSE)</f>
        <v>8</v>
      </c>
      <c r="H584" s="155">
        <v>200</v>
      </c>
      <c r="I584" s="103">
        <f>(H584/Tiempos!$B$29)/60</f>
        <v>1.7094017094017095</v>
      </c>
      <c r="J584" s="111">
        <f>+I584*(1+Tiempos!$C$17)</f>
        <v>1.7991452991452992</v>
      </c>
      <c r="K584" s="146">
        <f t="shared" si="87"/>
        <v>14.393162393162394</v>
      </c>
      <c r="L584" s="103">
        <f>+K584/Tiempos!$B$11</f>
        <v>3.1289483463396509E-2</v>
      </c>
      <c r="M584" s="262">
        <f>+K584/Tiempos!$B$12</f>
        <v>1.5644741731698254E-2</v>
      </c>
      <c r="N584" s="237"/>
      <c r="O584" s="237"/>
      <c r="P584" s="237"/>
      <c r="Q584" s="237"/>
    </row>
    <row r="585" spans="1:17" s="70" customFormat="1" x14ac:dyDescent="0.35">
      <c r="A585" s="81"/>
      <c r="B585" s="81">
        <v>2</v>
      </c>
      <c r="C585" s="83">
        <v>1</v>
      </c>
      <c r="D585" s="83" t="s">
        <v>327</v>
      </c>
      <c r="E585" s="113" t="s">
        <v>944</v>
      </c>
      <c r="F585" s="478" t="str">
        <f>+F584</f>
        <v>DEV_CAL</v>
      </c>
      <c r="G585" s="143">
        <f>VLOOKUP(F585,Volumenes!$D$19:$G$346,4,FALSE)</f>
        <v>8</v>
      </c>
      <c r="H585" s="97"/>
      <c r="I585" s="98">
        <f>15/60</f>
        <v>0.25</v>
      </c>
      <c r="J585" s="110">
        <f>+I585*(1+Tiempos!$C$17)</f>
        <v>0.263125</v>
      </c>
      <c r="K585" s="123">
        <f t="shared" si="87"/>
        <v>2.105</v>
      </c>
      <c r="L585" s="98">
        <f>+K585/Tiempos!$B$11</f>
        <v>4.5760869565217395E-3</v>
      </c>
      <c r="M585" s="261">
        <f>+K585/Tiempos!$B$12</f>
        <v>2.2880434782608697E-3</v>
      </c>
      <c r="N585" s="236"/>
      <c r="O585" s="236"/>
      <c r="P585" s="236"/>
      <c r="Q585" s="236"/>
    </row>
    <row r="586" spans="1:17" x14ac:dyDescent="0.35">
      <c r="A586" s="75"/>
      <c r="B586" s="75"/>
      <c r="E586" s="120"/>
      <c r="F586" s="75"/>
      <c r="G586" s="152"/>
      <c r="H586" s="105"/>
      <c r="I586" s="109"/>
      <c r="J586" s="107"/>
      <c r="K586" s="162"/>
      <c r="L586" s="308">
        <f>SUM(L580:L585)</f>
        <v>6.0369147157190634E-2</v>
      </c>
      <c r="M586" s="308">
        <f>SUM(M580:M585)</f>
        <v>3.0184573578595317E-2</v>
      </c>
      <c r="N586" s="295"/>
      <c r="O586" s="295"/>
      <c r="P586" s="295"/>
      <c r="Q586" s="295"/>
    </row>
    <row r="587" spans="1:17" x14ac:dyDescent="0.35">
      <c r="A587" s="75"/>
      <c r="B587" s="75"/>
      <c r="E587" s="104"/>
      <c r="F587" s="75"/>
      <c r="G587" s="108"/>
      <c r="H587" s="105"/>
      <c r="I587" s="106"/>
      <c r="J587" s="107"/>
      <c r="K587" s="109"/>
      <c r="L587" s="109"/>
      <c r="M587" s="109"/>
      <c r="N587" s="249"/>
      <c r="O587" s="249"/>
      <c r="P587" s="249"/>
      <c r="Q587" s="249"/>
    </row>
    <row r="588" spans="1:17" ht="13.15" x14ac:dyDescent="0.4">
      <c r="A588" s="296" t="s">
        <v>951</v>
      </c>
      <c r="B588" s="179"/>
      <c r="E588" s="120"/>
      <c r="F588" s="75"/>
      <c r="G588" s="152"/>
      <c r="H588" s="177"/>
      <c r="I588" s="109"/>
      <c r="J588" s="107"/>
      <c r="K588" s="162"/>
      <c r="L588" s="109"/>
      <c r="M588" s="45"/>
      <c r="N588" s="45"/>
      <c r="O588" s="45"/>
      <c r="P588" s="45"/>
      <c r="Q588" s="45"/>
    </row>
    <row r="589" spans="1:17" s="70" customFormat="1" x14ac:dyDescent="0.35">
      <c r="A589" s="92"/>
      <c r="B589" s="92">
        <v>2</v>
      </c>
      <c r="C589" s="100">
        <v>1</v>
      </c>
      <c r="D589" s="100" t="s">
        <v>327</v>
      </c>
      <c r="E589" s="112" t="s">
        <v>952</v>
      </c>
      <c r="F589" s="477" t="str">
        <f>+Volumenes!D224</f>
        <v>CHAT_DIA</v>
      </c>
      <c r="G589" s="144">
        <f>VLOOKUP(F589,Volumenes!$D$19:$G$346,4,FALSE)</f>
        <v>1</v>
      </c>
      <c r="H589" s="155">
        <v>200</v>
      </c>
      <c r="I589" s="103">
        <f>+(H589/Tiempos!$B$29)/60</f>
        <v>1.7094017094017095</v>
      </c>
      <c r="J589" s="111">
        <f>+I589*(1+Tiempos!$C$17)</f>
        <v>1.7991452991452992</v>
      </c>
      <c r="K589" s="146">
        <f>+J589*G589</f>
        <v>1.7991452991452992</v>
      </c>
      <c r="L589" s="103">
        <f>+K589/Tiempos!$B$11</f>
        <v>3.9111854329245636E-3</v>
      </c>
      <c r="M589" s="262">
        <f>+K589/Tiempos!$B$12</f>
        <v>1.9555927164622818E-3</v>
      </c>
      <c r="N589" s="234"/>
      <c r="O589" s="234"/>
      <c r="P589" s="234"/>
      <c r="Q589" s="234"/>
    </row>
    <row r="590" spans="1:17" s="70" customFormat="1" x14ac:dyDescent="0.35">
      <c r="A590" s="81"/>
      <c r="B590" s="81">
        <v>2</v>
      </c>
      <c r="C590" s="83">
        <v>1</v>
      </c>
      <c r="D590" s="83" t="s">
        <v>46</v>
      </c>
      <c r="E590" s="113" t="s">
        <v>953</v>
      </c>
      <c r="F590" s="478" t="str">
        <f>+Volumenes!D223</f>
        <v>CONT_CHAT</v>
      </c>
      <c r="G590" s="143">
        <f>VLOOKUP(F590,Volumenes!$D$19:$G$346,4,FALSE)</f>
        <v>6</v>
      </c>
      <c r="H590" s="180"/>
      <c r="I590" s="98">
        <f>15/60</f>
        <v>0.25</v>
      </c>
      <c r="J590" s="110">
        <f>+I590*(1+Tiempos!$C$17)</f>
        <v>0.263125</v>
      </c>
      <c r="K590" s="123">
        <f t="shared" ref="K590:K594" si="88">+J590*G590</f>
        <v>1.5787499999999999</v>
      </c>
      <c r="L590" s="98">
        <f>+K590/Tiempos!$B$11</f>
        <v>3.4320652173913039E-3</v>
      </c>
      <c r="M590" s="261">
        <f>+K590/Tiempos!$B$12</f>
        <v>1.716032608695652E-3</v>
      </c>
      <c r="N590" s="233"/>
      <c r="O590" s="233"/>
      <c r="P590" s="233"/>
      <c r="Q590" s="233"/>
    </row>
    <row r="591" spans="1:17" s="70" customFormat="1" x14ac:dyDescent="0.35">
      <c r="A591" s="92"/>
      <c r="B591" s="92">
        <v>2</v>
      </c>
      <c r="C591" s="100">
        <v>1</v>
      </c>
      <c r="D591" s="100" t="s">
        <v>46</v>
      </c>
      <c r="E591" s="112" t="s">
        <v>954</v>
      </c>
      <c r="F591" s="477" t="str">
        <f>+F590</f>
        <v>CONT_CHAT</v>
      </c>
      <c r="G591" s="144">
        <f>VLOOKUP(F591,Volumenes!$D$19:$G$346,4,FALSE)</f>
        <v>6</v>
      </c>
      <c r="H591" s="155">
        <v>100</v>
      </c>
      <c r="I591" s="103">
        <f>(H591/Tiempos!$B$29)/60</f>
        <v>0.85470085470085477</v>
      </c>
      <c r="J591" s="111">
        <f>+I591*(1+Tiempos!$C$17)</f>
        <v>0.8995726495726496</v>
      </c>
      <c r="K591" s="146">
        <f t="shared" si="88"/>
        <v>5.3974358974358978</v>
      </c>
      <c r="L591" s="103">
        <f>+K591/Tiempos!$B$11</f>
        <v>1.1733556298773691E-2</v>
      </c>
      <c r="M591" s="262">
        <f>+K591/Tiempos!$B$12</f>
        <v>5.8667781493868454E-3</v>
      </c>
      <c r="N591" s="234"/>
      <c r="O591" s="234"/>
      <c r="P591" s="234"/>
      <c r="Q591" s="234"/>
    </row>
    <row r="592" spans="1:17" s="70" customFormat="1" x14ac:dyDescent="0.35">
      <c r="A592" s="81"/>
      <c r="B592" s="81">
        <v>2</v>
      </c>
      <c r="C592" s="83">
        <v>1</v>
      </c>
      <c r="D592" s="83" t="s">
        <v>327</v>
      </c>
      <c r="E592" s="113" t="s">
        <v>955</v>
      </c>
      <c r="F592" s="478" t="str">
        <f>+F591</f>
        <v>CONT_CHAT</v>
      </c>
      <c r="G592" s="143">
        <f>VLOOKUP(F592,Volumenes!$D$19:$G$346,4,FALSE)</f>
        <v>6</v>
      </c>
      <c r="H592" s="97"/>
      <c r="I592" s="98">
        <f>120/60</f>
        <v>2</v>
      </c>
      <c r="J592" s="110">
        <f>+I592*(1+Tiempos!$C$17)</f>
        <v>2.105</v>
      </c>
      <c r="K592" s="123">
        <f t="shared" si="88"/>
        <v>12.629999999999999</v>
      </c>
      <c r="L592" s="98">
        <f>+K592/Tiempos!$B$11</f>
        <v>2.7456521739130432E-2</v>
      </c>
      <c r="M592" s="261">
        <f>+K592/Tiempos!$B$12</f>
        <v>1.3728260869565216E-2</v>
      </c>
      <c r="N592" s="236"/>
      <c r="O592" s="236"/>
      <c r="P592" s="236"/>
      <c r="Q592" s="236"/>
    </row>
    <row r="593" spans="1:17" s="70" customFormat="1" x14ac:dyDescent="0.35">
      <c r="A593" s="92"/>
      <c r="B593" s="92">
        <v>2</v>
      </c>
      <c r="C593" s="100">
        <v>1</v>
      </c>
      <c r="D593" s="100" t="s">
        <v>327</v>
      </c>
      <c r="E593" s="112" t="s">
        <v>956</v>
      </c>
      <c r="F593" s="477" t="str">
        <f>+F592</f>
        <v>CONT_CHAT</v>
      </c>
      <c r="G593" s="144">
        <f>VLOOKUP(F593,Volumenes!$D$19:$G$346,4,FALSE)</f>
        <v>6</v>
      </c>
      <c r="H593" s="155">
        <v>100</v>
      </c>
      <c r="I593" s="103">
        <f>(H593/Tiempos!$B$29)/60</f>
        <v>0.85470085470085477</v>
      </c>
      <c r="J593" s="111">
        <f>+I593*(1+Tiempos!$C$17)</f>
        <v>0.8995726495726496</v>
      </c>
      <c r="K593" s="146">
        <f t="shared" si="88"/>
        <v>5.3974358974358978</v>
      </c>
      <c r="L593" s="103">
        <f>+K593/Tiempos!$B$11</f>
        <v>1.1733556298773691E-2</v>
      </c>
      <c r="M593" s="262">
        <f>+K593/Tiempos!$B$12</f>
        <v>5.8667781493868454E-3</v>
      </c>
      <c r="N593" s="237"/>
      <c r="O593" s="237"/>
      <c r="P593" s="237"/>
      <c r="Q593" s="237"/>
    </row>
    <row r="594" spans="1:17" s="70" customFormat="1" x14ac:dyDescent="0.35">
      <c r="A594" s="81"/>
      <c r="B594" s="81">
        <v>2</v>
      </c>
      <c r="C594" s="83">
        <v>1</v>
      </c>
      <c r="D594" s="83" t="s">
        <v>327</v>
      </c>
      <c r="E594" s="113" t="s">
        <v>957</v>
      </c>
      <c r="F594" s="478" t="str">
        <f>+F593</f>
        <v>CONT_CHAT</v>
      </c>
      <c r="G594" s="143">
        <f>VLOOKUP(F594,Volumenes!$D$19:$G$346,4,FALSE)</f>
        <v>6</v>
      </c>
      <c r="H594" s="97"/>
      <c r="I594" s="98">
        <f>15/60</f>
        <v>0.25</v>
      </c>
      <c r="J594" s="110">
        <f>+I594*(1+Tiempos!$C$17)</f>
        <v>0.263125</v>
      </c>
      <c r="K594" s="123">
        <f t="shared" si="88"/>
        <v>1.5787499999999999</v>
      </c>
      <c r="L594" s="98">
        <f>+K594/Tiempos!$B$11</f>
        <v>3.4320652173913039E-3</v>
      </c>
      <c r="M594" s="261">
        <f>+K594/Tiempos!$B$12</f>
        <v>1.716032608695652E-3</v>
      </c>
      <c r="N594" s="236"/>
      <c r="O594" s="236"/>
      <c r="P594" s="236"/>
      <c r="Q594" s="236"/>
    </row>
    <row r="595" spans="1:17" x14ac:dyDescent="0.35">
      <c r="A595" s="75"/>
      <c r="B595" s="75"/>
      <c r="E595" s="120"/>
      <c r="F595" s="75"/>
      <c r="G595" s="152"/>
      <c r="H595" s="105"/>
      <c r="I595" s="109"/>
      <c r="J595" s="107"/>
      <c r="K595" s="162"/>
      <c r="L595" s="308">
        <f>SUM(L589:L594)</f>
        <v>6.1698950204384991E-2</v>
      </c>
      <c r="M595" s="308">
        <f>SUM(M589:M594)</f>
        <v>3.0849475102192495E-2</v>
      </c>
      <c r="N595" s="295"/>
      <c r="O595" s="295"/>
      <c r="P595" s="295"/>
      <c r="Q595" s="295"/>
    </row>
    <row r="596" spans="1:17" x14ac:dyDescent="0.35">
      <c r="A596" s="75"/>
      <c r="B596" s="75"/>
      <c r="E596" s="120"/>
      <c r="F596" s="75"/>
      <c r="G596" s="152"/>
      <c r="H596" s="105"/>
      <c r="I596" s="109"/>
      <c r="J596" s="107"/>
      <c r="K596" s="162"/>
      <c r="L596" s="109"/>
      <c r="M596" s="109"/>
      <c r="N596" s="295"/>
      <c r="O596" s="295"/>
      <c r="P596" s="295"/>
      <c r="Q596" s="295"/>
    </row>
    <row r="597" spans="1:17" ht="13.15" x14ac:dyDescent="0.4">
      <c r="A597" s="296" t="s">
        <v>1000</v>
      </c>
      <c r="B597" s="179"/>
      <c r="E597" s="120"/>
      <c r="F597" s="75"/>
      <c r="G597" s="152"/>
      <c r="H597" s="177"/>
      <c r="I597" s="109"/>
      <c r="J597" s="107"/>
      <c r="K597" s="162"/>
      <c r="L597" s="109"/>
      <c r="M597" s="45"/>
      <c r="N597" s="45"/>
      <c r="O597" s="45"/>
      <c r="P597" s="45"/>
      <c r="Q597" s="45"/>
    </row>
    <row r="598" spans="1:17" s="70" customFormat="1" x14ac:dyDescent="0.35">
      <c r="A598" s="92"/>
      <c r="B598" s="92">
        <v>2</v>
      </c>
      <c r="C598" s="100">
        <v>1</v>
      </c>
      <c r="D598" s="100" t="s">
        <v>327</v>
      </c>
      <c r="E598" s="112" t="s">
        <v>808</v>
      </c>
      <c r="F598" s="477" t="str">
        <f>+Volumenes!D205</f>
        <v>ARM_ALM</v>
      </c>
      <c r="G598" s="144">
        <f>VLOOKUP(F598,Volumenes!$D$19:$G$346,4,FALSE)</f>
        <v>1</v>
      </c>
      <c r="H598" s="155">
        <v>50</v>
      </c>
      <c r="I598" s="103">
        <f>+(H598/Tiempos!$B$29)/60</f>
        <v>0.42735042735042739</v>
      </c>
      <c r="J598" s="111">
        <f>+I598*(1+Tiempos!$C$17)</f>
        <v>0.4497863247863248</v>
      </c>
      <c r="K598" s="146">
        <f>+J598*G598</f>
        <v>0.4497863247863248</v>
      </c>
      <c r="L598" s="103">
        <f>+K598/Tiempos!$B$11</f>
        <v>9.7779635823114089E-4</v>
      </c>
      <c r="M598" s="262">
        <f>+K598/Tiempos!$B$12</f>
        <v>4.8889817911557045E-4</v>
      </c>
      <c r="N598" s="234"/>
      <c r="O598" s="234"/>
      <c r="P598" s="234"/>
      <c r="Q598" s="234"/>
    </row>
    <row r="599" spans="1:17" s="70" customFormat="1" x14ac:dyDescent="0.35">
      <c r="A599" s="81"/>
      <c r="B599" s="81">
        <v>2</v>
      </c>
      <c r="C599" s="83">
        <v>1</v>
      </c>
      <c r="D599" s="83" t="s">
        <v>46</v>
      </c>
      <c r="E599" s="113" t="s">
        <v>1001</v>
      </c>
      <c r="F599" s="478" t="str">
        <f>+Volumenes!D205</f>
        <v>ARM_ALM</v>
      </c>
      <c r="G599" s="143">
        <f>VLOOKUP(F599,Volumenes!$D$19:$G$346,4,FALSE)</f>
        <v>1</v>
      </c>
      <c r="H599" s="180"/>
      <c r="I599" s="98">
        <f>15/60</f>
        <v>0.25</v>
      </c>
      <c r="J599" s="110">
        <f>+I599*(1+Tiempos!$C$17)</f>
        <v>0.263125</v>
      </c>
      <c r="K599" s="123">
        <f t="shared" ref="K599:K601" si="89">+J599*G599</f>
        <v>0.263125</v>
      </c>
      <c r="L599" s="98">
        <f>+K599/Tiempos!$B$11</f>
        <v>5.7201086956521743E-4</v>
      </c>
      <c r="M599" s="261">
        <f>+K599/Tiempos!$B$12</f>
        <v>2.8600543478260872E-4</v>
      </c>
      <c r="N599" s="233"/>
      <c r="O599" s="233"/>
      <c r="P599" s="233"/>
      <c r="Q599" s="233"/>
    </row>
    <row r="600" spans="1:17" s="70" customFormat="1" x14ac:dyDescent="0.35">
      <c r="A600" s="92"/>
      <c r="B600" s="92">
        <v>2</v>
      </c>
      <c r="C600" s="100">
        <v>1</v>
      </c>
      <c r="D600" s="100" t="s">
        <v>46</v>
      </c>
      <c r="E600" s="112" t="s">
        <v>1002</v>
      </c>
      <c r="F600" s="477" t="str">
        <f>+Volumenes!D205</f>
        <v>ARM_ALM</v>
      </c>
      <c r="G600" s="144">
        <f>VLOOKUP(F600,Volumenes!$D$19:$G$346,4,FALSE)</f>
        <v>1</v>
      </c>
      <c r="H600" s="155">
        <v>75</v>
      </c>
      <c r="I600" s="103">
        <f>(H600/Tiempos!$B$29)/60</f>
        <v>0.64102564102564097</v>
      </c>
      <c r="J600" s="111">
        <f>+I600*(1+Tiempos!$C$17)</f>
        <v>0.67467948717948711</v>
      </c>
      <c r="K600" s="146">
        <f t="shared" si="89"/>
        <v>0.67467948717948711</v>
      </c>
      <c r="L600" s="103">
        <f>+K600/Tiempos!$B$11</f>
        <v>1.4666945373467111E-3</v>
      </c>
      <c r="M600" s="262">
        <f>+K600/Tiempos!$B$12</f>
        <v>7.3334726867335556E-4</v>
      </c>
      <c r="N600" s="234"/>
      <c r="O600" s="234"/>
      <c r="P600" s="234"/>
      <c r="Q600" s="234"/>
    </row>
    <row r="601" spans="1:17" s="70" customFormat="1" x14ac:dyDescent="0.35">
      <c r="A601" s="81"/>
      <c r="B601" s="81">
        <v>2</v>
      </c>
      <c r="C601" s="83">
        <v>1</v>
      </c>
      <c r="D601" s="83" t="s">
        <v>327</v>
      </c>
      <c r="E601" s="113" t="s">
        <v>81</v>
      </c>
      <c r="F601" s="478" t="str">
        <f>+Volumenes!D205</f>
        <v>ARM_ALM</v>
      </c>
      <c r="G601" s="143">
        <f>VLOOKUP(F601,Volumenes!$D$19:$G$346,4,FALSE)</f>
        <v>1</v>
      </c>
      <c r="H601" s="97"/>
      <c r="I601" s="98">
        <f>15/60</f>
        <v>0.25</v>
      </c>
      <c r="J601" s="110">
        <f>+I601*(1+Tiempos!$C$17)</f>
        <v>0.263125</v>
      </c>
      <c r="K601" s="123">
        <f t="shared" si="89"/>
        <v>0.263125</v>
      </c>
      <c r="L601" s="98">
        <f>+K601/Tiempos!$B$11</f>
        <v>5.7201086956521743E-4</v>
      </c>
      <c r="M601" s="261">
        <f>+K601/Tiempos!$B$12</f>
        <v>2.8600543478260872E-4</v>
      </c>
      <c r="N601" s="236"/>
      <c r="O601" s="236"/>
      <c r="P601" s="236"/>
      <c r="Q601" s="236"/>
    </row>
    <row r="602" spans="1:17" x14ac:dyDescent="0.35">
      <c r="A602" s="75"/>
      <c r="B602" s="75"/>
      <c r="E602" s="120"/>
      <c r="F602" s="75"/>
      <c r="G602" s="152"/>
      <c r="H602" s="105"/>
      <c r="I602" s="109"/>
      <c r="J602" s="107"/>
      <c r="K602" s="162"/>
      <c r="L602" s="308">
        <f>SUM(L598:L601)</f>
        <v>3.5885126347082871E-3</v>
      </c>
      <c r="M602" s="308">
        <f>SUM(M598:M601)</f>
        <v>1.7942563173541435E-3</v>
      </c>
      <c r="N602" s="295"/>
      <c r="O602" s="295"/>
      <c r="P602" s="295"/>
      <c r="Q602" s="295"/>
    </row>
    <row r="603" spans="1:17" x14ac:dyDescent="0.35">
      <c r="A603" s="75"/>
      <c r="B603" s="75"/>
      <c r="E603" s="120"/>
      <c r="F603" s="75"/>
      <c r="G603" s="152"/>
      <c r="H603" s="105"/>
      <c r="I603" s="109"/>
      <c r="J603" s="107"/>
      <c r="K603" s="162"/>
      <c r="L603" s="109"/>
      <c r="M603" s="109"/>
      <c r="N603" s="295"/>
      <c r="O603" s="295"/>
      <c r="P603" s="295"/>
      <c r="Q603" s="295"/>
    </row>
    <row r="604" spans="1:17" ht="13.15" x14ac:dyDescent="0.4">
      <c r="A604" s="84" t="s">
        <v>1004</v>
      </c>
      <c r="B604" s="84"/>
      <c r="C604" s="70"/>
      <c r="D604" s="70"/>
      <c r="E604" s="94"/>
      <c r="F604" s="80"/>
      <c r="G604" s="154"/>
      <c r="H604" s="80"/>
      <c r="I604" s="80"/>
      <c r="J604" s="80"/>
      <c r="K604" s="168"/>
      <c r="L604" s="80"/>
    </row>
    <row r="605" spans="1:17" x14ac:dyDescent="0.35">
      <c r="A605" s="81"/>
      <c r="B605" s="81">
        <v>2</v>
      </c>
      <c r="C605" s="83">
        <v>1</v>
      </c>
      <c r="D605" s="83" t="s">
        <v>69</v>
      </c>
      <c r="E605" s="99" t="s">
        <v>855</v>
      </c>
      <c r="F605" s="81" t="str">
        <f>+Volumenes!D43</f>
        <v>CHA_MUL_3D</v>
      </c>
      <c r="G605" s="143">
        <f>VLOOKUP(F605,Volumenes!$D$19:$G$346,4,FALSE)</f>
        <v>45.667827824349573</v>
      </c>
      <c r="H605" s="97"/>
      <c r="I605" s="98">
        <v>0.08</v>
      </c>
      <c r="J605" s="110">
        <f>+I605*(1+Tiempos!$C$17)</f>
        <v>8.4199999999999997E-2</v>
      </c>
      <c r="K605" s="123">
        <f t="shared" ref="K605:K609" si="90">+J605*G605</f>
        <v>3.8452311028102337</v>
      </c>
      <c r="L605" s="98">
        <f>+K605/Tiempos!$B$11</f>
        <v>8.3591980495874643E-3</v>
      </c>
      <c r="M605" s="261">
        <f>+K605/Tiempos!$B$12</f>
        <v>4.1795990247937322E-3</v>
      </c>
      <c r="N605" s="238"/>
      <c r="O605" s="238"/>
      <c r="P605" s="238"/>
      <c r="Q605" s="238"/>
    </row>
    <row r="606" spans="1:17" x14ac:dyDescent="0.35">
      <c r="A606" s="81"/>
      <c r="B606" s="81">
        <v>2</v>
      </c>
      <c r="C606" s="83">
        <v>1</v>
      </c>
      <c r="D606" s="83" t="s">
        <v>69</v>
      </c>
      <c r="E606" s="99" t="s">
        <v>856</v>
      </c>
      <c r="F606" s="81" t="str">
        <f>+F605</f>
        <v>CHA_MUL_3D</v>
      </c>
      <c r="G606" s="143">
        <f>VLOOKUP(F606,Volumenes!$D$19:$G$346,4,FALSE)</f>
        <v>45.667827824349573</v>
      </c>
      <c r="H606" s="97"/>
      <c r="I606" s="98">
        <v>0.25</v>
      </c>
      <c r="J606" s="110">
        <f>+I606*(1+Tiempos!$C$17)</f>
        <v>0.263125</v>
      </c>
      <c r="K606" s="123">
        <f t="shared" si="90"/>
        <v>12.016347196281981</v>
      </c>
      <c r="L606" s="98">
        <f>+K606/Tiempos!$B$11</f>
        <v>2.6122493904960829E-2</v>
      </c>
      <c r="M606" s="261">
        <f>+K606/Tiempos!$B$12</f>
        <v>1.3061246952480414E-2</v>
      </c>
      <c r="N606" s="238"/>
      <c r="O606" s="238"/>
      <c r="P606" s="238"/>
      <c r="Q606" s="238"/>
    </row>
    <row r="607" spans="1:17" x14ac:dyDescent="0.35">
      <c r="A607" s="92"/>
      <c r="B607" s="92">
        <v>2</v>
      </c>
      <c r="C607" s="100">
        <v>1</v>
      </c>
      <c r="D607" s="100" t="s">
        <v>69</v>
      </c>
      <c r="E607" s="101" t="s">
        <v>176</v>
      </c>
      <c r="F607" s="92" t="str">
        <f>+F606</f>
        <v>CHA_MUL_3D</v>
      </c>
      <c r="G607" s="144">
        <f>VLOOKUP(F607,Volumenes!$D$19:$G$346,4,FALSE)</f>
        <v>45.667827824349573</v>
      </c>
      <c r="H607" s="102">
        <f>+Tiempos!E94</f>
        <v>125</v>
      </c>
      <c r="I607" s="103">
        <f>+Tiempos!F94</f>
        <v>1.0683760683760684</v>
      </c>
      <c r="J607" s="111">
        <f>+I607*(1+Tiempos!$C$17)</f>
        <v>1.124465811965812</v>
      </c>
      <c r="K607" s="146">
        <f t="shared" si="90"/>
        <v>51.351911095222142</v>
      </c>
      <c r="L607" s="103">
        <f>+K607/Tiempos!$B$11</f>
        <v>0.11163458933743944</v>
      </c>
      <c r="M607" s="262">
        <f>+K607/Tiempos!$B$12</f>
        <v>5.5817294668719722E-2</v>
      </c>
      <c r="N607" s="243"/>
      <c r="O607" s="243"/>
      <c r="P607" s="243"/>
      <c r="Q607" s="243"/>
    </row>
    <row r="608" spans="1:17" x14ac:dyDescent="0.35">
      <c r="A608" s="81"/>
      <c r="B608" s="81">
        <v>2</v>
      </c>
      <c r="C608" s="83">
        <v>1</v>
      </c>
      <c r="D608" s="83" t="s">
        <v>69</v>
      </c>
      <c r="E608" s="99" t="s">
        <v>480</v>
      </c>
      <c r="F608" s="81" t="str">
        <f>+F607</f>
        <v>CHA_MUL_3D</v>
      </c>
      <c r="G608" s="143">
        <f>VLOOKUP(F608,Volumenes!$D$19:$G$346,4,FALSE)</f>
        <v>45.667827824349573</v>
      </c>
      <c r="H608" s="97"/>
      <c r="I608" s="98">
        <f>20/60</f>
        <v>0.33333333333333331</v>
      </c>
      <c r="J608" s="110">
        <f>+I608*(1+Tiempos!$C$17)</f>
        <v>0.35083333333333333</v>
      </c>
      <c r="K608" s="123">
        <f t="shared" si="90"/>
        <v>16.021796261709309</v>
      </c>
      <c r="L608" s="98">
        <f>+K608/Tiempos!$B$11</f>
        <v>3.4829991873281105E-2</v>
      </c>
      <c r="M608" s="261">
        <f>+K608/Tiempos!$B$12</f>
        <v>1.7414995936640552E-2</v>
      </c>
      <c r="N608" s="238"/>
      <c r="O608" s="238"/>
      <c r="P608" s="238"/>
      <c r="Q608" s="238"/>
    </row>
    <row r="609" spans="1:17" x14ac:dyDescent="0.35">
      <c r="A609" s="92"/>
      <c r="B609" s="92">
        <v>2</v>
      </c>
      <c r="C609" s="100">
        <v>1</v>
      </c>
      <c r="D609" s="100" t="s">
        <v>69</v>
      </c>
      <c r="E609" s="101" t="s">
        <v>177</v>
      </c>
      <c r="F609" s="92" t="str">
        <f>+F608</f>
        <v>CHA_MUL_3D</v>
      </c>
      <c r="G609" s="144">
        <f>VLOOKUP(F609,Volumenes!$D$19:$G$346,4,FALSE)</f>
        <v>45.667827824349573</v>
      </c>
      <c r="H609" s="102">
        <f>+H607</f>
        <v>125</v>
      </c>
      <c r="I609" s="103">
        <f>+I607</f>
        <v>1.0683760683760684</v>
      </c>
      <c r="J609" s="111">
        <f>+I609*(1+Tiempos!$C$17)</f>
        <v>1.124465811965812</v>
      </c>
      <c r="K609" s="146">
        <f t="shared" si="90"/>
        <v>51.351911095222142</v>
      </c>
      <c r="L609" s="103">
        <f>+K609/Tiempos!$B$11</f>
        <v>0.11163458933743944</v>
      </c>
      <c r="M609" s="262">
        <f>+K609/Tiempos!$B$12</f>
        <v>5.5817294668719722E-2</v>
      </c>
      <c r="N609" s="247"/>
      <c r="O609" s="247"/>
      <c r="P609" s="247"/>
      <c r="Q609" s="247"/>
    </row>
    <row r="610" spans="1:17" ht="13.5" x14ac:dyDescent="0.35">
      <c r="A610" s="75"/>
      <c r="B610" s="75"/>
      <c r="E610" s="104"/>
      <c r="F610" s="75"/>
      <c r="G610" s="152"/>
      <c r="H610" s="105"/>
      <c r="I610" s="109"/>
      <c r="J610" s="107"/>
      <c r="K610" s="82" t="s">
        <v>40</v>
      </c>
      <c r="L610" s="98">
        <f>SUM(L605:L609)</f>
        <v>0.29258086250270832</v>
      </c>
      <c r="M610" s="311">
        <f>SUM(M605:M609)</f>
        <v>0.14629043125135416</v>
      </c>
      <c r="N610" s="246"/>
      <c r="O610" s="246"/>
      <c r="P610" s="246"/>
      <c r="Q610" s="246"/>
    </row>
    <row r="611" spans="1:17" ht="13.5" x14ac:dyDescent="0.35">
      <c r="A611" s="75"/>
      <c r="B611" s="75"/>
      <c r="E611" s="104"/>
      <c r="F611" s="75"/>
      <c r="G611" s="152"/>
      <c r="H611" s="105"/>
      <c r="I611" s="109"/>
      <c r="J611" s="107"/>
      <c r="K611" s="82"/>
      <c r="L611" s="109"/>
      <c r="M611" s="489"/>
      <c r="N611" s="191"/>
      <c r="O611" s="191"/>
      <c r="P611" s="191"/>
      <c r="Q611" s="191"/>
    </row>
    <row r="612" spans="1:17" ht="17.649999999999999" x14ac:dyDescent="0.35">
      <c r="A612" s="205" t="s">
        <v>1006</v>
      </c>
      <c r="B612" s="212"/>
      <c r="C612" s="70"/>
      <c r="D612" s="70"/>
      <c r="E612" s="94"/>
      <c r="F612" s="80"/>
      <c r="G612" s="80"/>
      <c r="H612" s="80"/>
      <c r="I612" s="80"/>
      <c r="J612" s="80"/>
      <c r="K612" s="80"/>
      <c r="L612" s="80"/>
    </row>
    <row r="613" spans="1:17" x14ac:dyDescent="0.35">
      <c r="A613" s="81"/>
      <c r="B613" s="81">
        <v>2</v>
      </c>
      <c r="C613" s="83">
        <v>1</v>
      </c>
      <c r="D613" s="83" t="s">
        <v>46</v>
      </c>
      <c r="E613" s="99" t="s">
        <v>547</v>
      </c>
      <c r="F613" s="81" t="str">
        <f>+Volumenes!D92</f>
        <v>CHI_AUTO</v>
      </c>
      <c r="G613" s="123">
        <f>VLOOKUP(F613,Volumenes!$D$19:$G$346,4,FALSE)</f>
        <v>8.8507936507936513</v>
      </c>
      <c r="H613" s="97"/>
      <c r="I613" s="98">
        <f>15/60</f>
        <v>0.25</v>
      </c>
      <c r="J613" s="110">
        <f>+I613*(1+Tiempos!$C$17)</f>
        <v>0.263125</v>
      </c>
      <c r="K613" s="98">
        <f t="shared" ref="K613:K616" si="91">+J613*G613</f>
        <v>2.3288650793650794</v>
      </c>
      <c r="L613" s="98">
        <f>+K613/Tiempos!$B$11</f>
        <v>5.062750172532781E-3</v>
      </c>
      <c r="M613" s="261">
        <f>+K613/Tiempos!$B$12</f>
        <v>2.5313750862663905E-3</v>
      </c>
      <c r="N613" s="238"/>
      <c r="O613" s="238"/>
      <c r="P613" s="238"/>
      <c r="Q613" s="238"/>
    </row>
    <row r="614" spans="1:17" x14ac:dyDescent="0.35">
      <c r="A614" s="92"/>
      <c r="B614" s="92">
        <v>2</v>
      </c>
      <c r="C614" s="100">
        <v>1</v>
      </c>
      <c r="D614" s="100" t="s">
        <v>69</v>
      </c>
      <c r="E614" s="101" t="s">
        <v>548</v>
      </c>
      <c r="F614" s="92" t="str">
        <f>+F613</f>
        <v>CHI_AUTO</v>
      </c>
      <c r="G614" s="146">
        <f>VLOOKUP(F614,Volumenes!$D$19:$G$346,4,FALSE)</f>
        <v>8.8507936507936513</v>
      </c>
      <c r="H614" s="102">
        <f>+Tiempos!E94</f>
        <v>125</v>
      </c>
      <c r="I614" s="103">
        <f>+(H614/Tiempos!$B$28)/60</f>
        <v>1.4153079710144927</v>
      </c>
      <c r="J614" s="111">
        <f>+I614*(1+Tiempos!$C$17)</f>
        <v>1.4896116394927534</v>
      </c>
      <c r="K614" s="103">
        <f t="shared" si="91"/>
        <v>13.184245240970784</v>
      </c>
      <c r="L614" s="103">
        <f>+K614/Tiempos!$B$11</f>
        <v>2.8661402697762572E-2</v>
      </c>
      <c r="M614" s="262">
        <f>+K614/Tiempos!$B$12</f>
        <v>1.4330701348881286E-2</v>
      </c>
      <c r="N614" s="243"/>
      <c r="O614" s="243"/>
      <c r="P614" s="243"/>
      <c r="Q614" s="243"/>
    </row>
    <row r="615" spans="1:17" x14ac:dyDescent="0.35">
      <c r="A615" s="81"/>
      <c r="B615" s="81">
        <v>2</v>
      </c>
      <c r="C615" s="83">
        <v>1</v>
      </c>
      <c r="D615" s="83" t="s">
        <v>69</v>
      </c>
      <c r="E615" s="99" t="s">
        <v>549</v>
      </c>
      <c r="F615" s="81" t="str">
        <f>+F614</f>
        <v>CHI_AUTO</v>
      </c>
      <c r="G615" s="123">
        <f>VLOOKUP(F615,Volumenes!$D$19:$G$346,4,FALSE)</f>
        <v>8.8507936507936513</v>
      </c>
      <c r="H615" s="97"/>
      <c r="I615" s="98">
        <f>20/60</f>
        <v>0.33333333333333331</v>
      </c>
      <c r="J615" s="110">
        <f>+I615*(1+Tiempos!$C$17)</f>
        <v>0.35083333333333333</v>
      </c>
      <c r="K615" s="98">
        <f t="shared" si="91"/>
        <v>3.1051534391534394</v>
      </c>
      <c r="L615" s="98">
        <f>+K615/Tiempos!$B$11</f>
        <v>6.7503335633770419E-3</v>
      </c>
      <c r="M615" s="261">
        <f>+K615/Tiempos!$B$12</f>
        <v>3.375166781688521E-3</v>
      </c>
      <c r="N615" s="238"/>
      <c r="O615" s="238"/>
      <c r="P615" s="238"/>
      <c r="Q615" s="238"/>
    </row>
    <row r="616" spans="1:17" x14ac:dyDescent="0.35">
      <c r="A616" s="92"/>
      <c r="B616" s="92">
        <v>2</v>
      </c>
      <c r="C616" s="100">
        <v>1</v>
      </c>
      <c r="D616" s="100" t="s">
        <v>69</v>
      </c>
      <c r="E616" s="101" t="s">
        <v>550</v>
      </c>
      <c r="F616" s="92" t="str">
        <f>+F615</f>
        <v>CHI_AUTO</v>
      </c>
      <c r="G616" s="146">
        <f>VLOOKUP(F616,Volumenes!$D$19:$G$346,4,FALSE)</f>
        <v>8.8507936507936513</v>
      </c>
      <c r="H616" s="102">
        <f>+Tiempos!E94</f>
        <v>125</v>
      </c>
      <c r="I616" s="103">
        <f>+(H616/Tiempos!$B$28)/60</f>
        <v>1.4153079710144927</v>
      </c>
      <c r="J616" s="111">
        <f>+I616*(1+Tiempos!$C$17)</f>
        <v>1.4896116394927534</v>
      </c>
      <c r="K616" s="103">
        <f t="shared" si="91"/>
        <v>13.184245240970784</v>
      </c>
      <c r="L616" s="103">
        <f>+K616/Tiempos!$B$11</f>
        <v>2.8661402697762572E-2</v>
      </c>
      <c r="M616" s="262">
        <f>+K616/Tiempos!$B$12</f>
        <v>1.4330701348881286E-2</v>
      </c>
      <c r="N616" s="243"/>
      <c r="O616" s="243"/>
      <c r="P616" s="243"/>
      <c r="Q616" s="243"/>
    </row>
    <row r="617" spans="1:17" ht="13.5" x14ac:dyDescent="0.35">
      <c r="K617" s="82" t="s">
        <v>40</v>
      </c>
      <c r="L617" s="86">
        <f>SUM(L613:L616)</f>
        <v>6.913588913143498E-2</v>
      </c>
      <c r="M617" s="261">
        <f>SUM(M613:M616)</f>
        <v>3.456794456571749E-2</v>
      </c>
      <c r="N617" s="238"/>
      <c r="O617" s="238"/>
      <c r="P617" s="238"/>
      <c r="Q617" s="238"/>
    </row>
    <row r="618" spans="1:17" ht="13.5" x14ac:dyDescent="0.35">
      <c r="A618" s="75"/>
      <c r="B618" s="75"/>
      <c r="E618" s="104"/>
      <c r="F618" s="75"/>
      <c r="G618" s="152"/>
      <c r="H618" s="105"/>
      <c r="I618" s="109"/>
      <c r="J618" s="107"/>
      <c r="K618" s="82"/>
      <c r="L618" s="109"/>
      <c r="M618" s="489"/>
      <c r="N618" s="191"/>
      <c r="O618" s="191"/>
      <c r="P618" s="191"/>
      <c r="Q618" s="191"/>
    </row>
    <row r="619" spans="1:17" ht="15" x14ac:dyDescent="0.4">
      <c r="A619" s="543" t="s">
        <v>874</v>
      </c>
      <c r="B619" s="544"/>
      <c r="C619" s="375"/>
      <c r="D619" s="375"/>
      <c r="E619" s="545"/>
      <c r="F619" s="75"/>
      <c r="G619" s="108"/>
      <c r="H619" s="105"/>
      <c r="I619" s="106"/>
      <c r="J619" s="107"/>
      <c r="K619" s="109"/>
      <c r="L619" s="109"/>
      <c r="M619" s="109"/>
      <c r="N619" s="249"/>
      <c r="O619" s="249"/>
      <c r="P619" s="249"/>
      <c r="Q619" s="249"/>
    </row>
    <row r="620" spans="1:17" ht="13.9" x14ac:dyDescent="0.4">
      <c r="A620" s="461"/>
      <c r="B620" s="75"/>
      <c r="E620" s="104"/>
      <c r="F620" s="75"/>
      <c r="G620" s="108"/>
      <c r="H620" s="105"/>
      <c r="I620" s="106"/>
      <c r="J620" s="107"/>
      <c r="K620" s="109"/>
      <c r="L620" s="109"/>
      <c r="M620" s="109"/>
      <c r="N620" s="249"/>
      <c r="O620" s="249"/>
      <c r="P620" s="249"/>
      <c r="Q620" s="249"/>
    </row>
    <row r="621" spans="1:17" ht="13.15" x14ac:dyDescent="0.4">
      <c r="A621" s="296" t="s">
        <v>898</v>
      </c>
      <c r="B621" s="296"/>
      <c r="C621" s="138"/>
      <c r="D621" s="138"/>
      <c r="E621" s="120"/>
      <c r="F621" s="75"/>
      <c r="G621" s="152"/>
      <c r="H621" s="177"/>
      <c r="I621" s="109"/>
      <c r="J621" s="107"/>
      <c r="K621" s="162"/>
      <c r="L621" s="109"/>
      <c r="M621" s="45"/>
      <c r="N621" s="45"/>
      <c r="O621" s="45"/>
      <c r="P621" s="45"/>
      <c r="Q621" s="45"/>
    </row>
    <row r="622" spans="1:17" s="70" customFormat="1" x14ac:dyDescent="0.35">
      <c r="A622" s="462"/>
      <c r="B622" s="462">
        <v>2</v>
      </c>
      <c r="C622" s="463">
        <v>1</v>
      </c>
      <c r="D622" s="463" t="s">
        <v>46</v>
      </c>
      <c r="E622" s="112" t="s">
        <v>249</v>
      </c>
      <c r="F622" s="100" t="s">
        <v>241</v>
      </c>
      <c r="G622" s="155">
        <f>VLOOKUP(F622,Volumenes!$D$20:$F$222,3,FALSE)</f>
        <v>4</v>
      </c>
      <c r="H622" s="155">
        <f>VLOOKUP(F622,Tiempos!$D$42:$F$113,2,FALSE)</f>
        <v>300</v>
      </c>
      <c r="I622" s="103">
        <f>VLOOKUP(F622,Tiempos!$D$42:$F$111,3,FALSE)</f>
        <v>3.3967391304347827</v>
      </c>
      <c r="J622" s="111">
        <f>+I622*(1+Tiempos!$C$17)</f>
        <v>3.5750679347826089</v>
      </c>
      <c r="K622" s="146">
        <f>+J622*G622</f>
        <v>14.300271739130435</v>
      </c>
      <c r="L622" s="103">
        <f>+K622/Tiempos!B11</f>
        <v>3.1087547258979206E-2</v>
      </c>
      <c r="M622" s="262">
        <f>+K622/Tiempos!$B$12</f>
        <v>1.5543773629489603E-2</v>
      </c>
      <c r="N622" s="234"/>
      <c r="O622" s="234"/>
      <c r="P622" s="234"/>
      <c r="Q622" s="234"/>
    </row>
    <row r="623" spans="1:17" s="70" customFormat="1" x14ac:dyDescent="0.35">
      <c r="A623" s="464"/>
      <c r="B623" s="464">
        <v>2</v>
      </c>
      <c r="C623" s="465">
        <v>1</v>
      </c>
      <c r="D623" s="465" t="s">
        <v>327</v>
      </c>
      <c r="E623" s="113" t="s">
        <v>79</v>
      </c>
      <c r="F623" s="83" t="s">
        <v>266</v>
      </c>
      <c r="G623" s="143">
        <f>VLOOKUP(F623,Volumenes!$D$20:$F$222,3,FALSE)</f>
        <v>52.629386943915058</v>
      </c>
      <c r="H623" s="97"/>
      <c r="I623" s="98">
        <f>25/60</f>
        <v>0.41666666666666669</v>
      </c>
      <c r="J623" s="110">
        <f>+I623*(1+Tiempos!$C$17)</f>
        <v>0.43854166666666666</v>
      </c>
      <c r="K623" s="123">
        <f t="shared" ref="K623:K635" si="92">+J623*G623</f>
        <v>23.080179066029416</v>
      </c>
      <c r="L623" s="98">
        <f>+K623/Tiempos!$B$11</f>
        <v>5.0174302317455254E-2</v>
      </c>
      <c r="M623" s="261">
        <f>+K623/Tiempos!$B$12</f>
        <v>2.5087151158727627E-2</v>
      </c>
      <c r="N623" s="236"/>
      <c r="O623" s="236"/>
      <c r="P623" s="236"/>
      <c r="Q623" s="236"/>
    </row>
    <row r="624" spans="1:17" s="70" customFormat="1" x14ac:dyDescent="0.35">
      <c r="A624" s="462"/>
      <c r="B624" s="462">
        <v>2</v>
      </c>
      <c r="C624" s="463">
        <v>1</v>
      </c>
      <c r="D624" s="463" t="s">
        <v>327</v>
      </c>
      <c r="E624" s="112" t="s">
        <v>80</v>
      </c>
      <c r="F624" s="100" t="s">
        <v>204</v>
      </c>
      <c r="G624" s="155">
        <f>VLOOKUP(F624,Volumenes!$D$20:$F$222,3,FALSE)</f>
        <v>4</v>
      </c>
      <c r="H624" s="155">
        <v>10</v>
      </c>
      <c r="I624" s="103">
        <f>VLOOKUP(F624,Tiempos!$D$42:$F$111,3,FALSE)</f>
        <v>0.22644927536231885</v>
      </c>
      <c r="J624" s="111">
        <f>+I624*(1+Tiempos!$C$17)</f>
        <v>0.23833786231884058</v>
      </c>
      <c r="K624" s="146">
        <f t="shared" si="92"/>
        <v>0.95335144927536231</v>
      </c>
      <c r="L624" s="103">
        <f>+K624/Tiempos!$B$11</f>
        <v>2.0725031505986137E-3</v>
      </c>
      <c r="M624" s="262">
        <f>+K624/Tiempos!$B$12</f>
        <v>1.0362515752993069E-3</v>
      </c>
      <c r="N624" s="237"/>
      <c r="O624" s="237"/>
      <c r="P624" s="237"/>
      <c r="Q624" s="237"/>
    </row>
    <row r="625" spans="1:17" s="70" customFormat="1" x14ac:dyDescent="0.35">
      <c r="A625" s="464"/>
      <c r="B625" s="464">
        <v>2</v>
      </c>
      <c r="C625" s="465">
        <v>1</v>
      </c>
      <c r="D625" s="465" t="s">
        <v>327</v>
      </c>
      <c r="E625" s="113" t="s">
        <v>81</v>
      </c>
      <c r="F625" s="83" t="s">
        <v>243</v>
      </c>
      <c r="G625" s="143">
        <f>VLOOKUP(F625,Volumenes!$D$20:$F$222,3,FALSE)</f>
        <v>52.629386943915058</v>
      </c>
      <c r="H625" s="97"/>
      <c r="I625" s="98">
        <f>15/60</f>
        <v>0.25</v>
      </c>
      <c r="J625" s="110">
        <f>+I625*(1+Tiempos!$C$17)</f>
        <v>0.263125</v>
      </c>
      <c r="K625" s="123">
        <f t="shared" si="92"/>
        <v>13.84810743961765</v>
      </c>
      <c r="L625" s="98">
        <f>+K625/Tiempos!$B$11</f>
        <v>3.0104581390473152E-2</v>
      </c>
      <c r="M625" s="261">
        <f>+K625/Tiempos!$B$12</f>
        <v>1.5052290695236576E-2</v>
      </c>
      <c r="N625" s="236"/>
      <c r="O625" s="236"/>
      <c r="P625" s="236"/>
      <c r="Q625" s="236"/>
    </row>
    <row r="626" spans="1:17" x14ac:dyDescent="0.35">
      <c r="A626" s="464"/>
      <c r="B626" s="464">
        <v>2</v>
      </c>
      <c r="C626" s="465">
        <v>1</v>
      </c>
      <c r="D626" s="465" t="s">
        <v>46</v>
      </c>
      <c r="E626" s="113" t="s">
        <v>1083</v>
      </c>
      <c r="F626" s="81" t="s">
        <v>243</v>
      </c>
      <c r="G626" s="143">
        <f>VLOOKUP(F626,Volumenes!$D$20:$F$222,3,FALSE)</f>
        <v>52.629386943915058</v>
      </c>
      <c r="H626" s="97"/>
      <c r="I626" s="98">
        <f>5/60</f>
        <v>8.3333333333333329E-2</v>
      </c>
      <c r="J626" s="110">
        <f>+I626*(1+Tiempos!$C$17)</f>
        <v>8.7708333333333333E-2</v>
      </c>
      <c r="K626" s="123">
        <f t="shared" si="92"/>
        <v>4.6160358132058832</v>
      </c>
      <c r="L626" s="98">
        <f>+K626/Tiempos!$B$11</f>
        <v>1.0034860463491051E-2</v>
      </c>
      <c r="M626" s="261">
        <f>+K626/Tiempos!$B$12</f>
        <v>5.0174302317455254E-3</v>
      </c>
      <c r="N626" s="236"/>
      <c r="O626" s="236"/>
      <c r="P626" s="236"/>
      <c r="Q626" s="236"/>
    </row>
    <row r="627" spans="1:17" x14ac:dyDescent="0.35">
      <c r="A627" s="462"/>
      <c r="B627" s="462">
        <v>2</v>
      </c>
      <c r="C627" s="463">
        <v>1</v>
      </c>
      <c r="D627" s="463" t="s">
        <v>46</v>
      </c>
      <c r="E627" s="112" t="s">
        <v>53</v>
      </c>
      <c r="F627" s="92" t="s">
        <v>204</v>
      </c>
      <c r="G627" s="144">
        <f>VLOOKUP(F627,Volumenes!$D$20:$F$222,3,FALSE)</f>
        <v>4</v>
      </c>
      <c r="H627" s="102">
        <f>VLOOKUP(F627,Tiempos!$D$42:$F$113,2,FALSE)</f>
        <v>20</v>
      </c>
      <c r="I627" s="103">
        <f>VLOOKUP(F627,Tiempos!$D$42:$F$111,3,FALSE)</f>
        <v>0.22644927536231885</v>
      </c>
      <c r="J627" s="111">
        <f>+I627*(1+Tiempos!$C$17)</f>
        <v>0.23833786231884058</v>
      </c>
      <c r="K627" s="146">
        <f t="shared" si="92"/>
        <v>0.95335144927536231</v>
      </c>
      <c r="L627" s="103">
        <f>+K627/Tiempos!$B$11</f>
        <v>2.0725031505986137E-3</v>
      </c>
      <c r="M627" s="262">
        <f>+K627/Tiempos!$B$12</f>
        <v>1.0362515752993069E-3</v>
      </c>
      <c r="N627" s="237"/>
      <c r="O627" s="237"/>
      <c r="P627" s="237"/>
      <c r="Q627" s="237"/>
    </row>
    <row r="628" spans="1:17" x14ac:dyDescent="0.35">
      <c r="A628" s="464"/>
      <c r="B628" s="464">
        <v>2</v>
      </c>
      <c r="C628" s="465">
        <v>1</v>
      </c>
      <c r="D628" s="465" t="s">
        <v>46</v>
      </c>
      <c r="E628" s="114" t="s">
        <v>1082</v>
      </c>
      <c r="F628" s="81" t="s">
        <v>246</v>
      </c>
      <c r="G628" s="143">
        <f>VLOOKUP(F628,Volumenes!$D$20:$F$222,3,FALSE)</f>
        <v>0.52629386943915057</v>
      </c>
      <c r="H628" s="97"/>
      <c r="I628" s="98">
        <f>30/60</f>
        <v>0.5</v>
      </c>
      <c r="J628" s="110">
        <f>+I628*(1+Tiempos!$C$17)</f>
        <v>0.52625</v>
      </c>
      <c r="K628" s="123">
        <f t="shared" si="92"/>
        <v>0.27696214879235298</v>
      </c>
      <c r="L628" s="98">
        <f>+K628/Tiempos!$B$11</f>
        <v>6.0209162780946296E-4</v>
      </c>
      <c r="M628" s="261">
        <f>+K628/Tiempos!$B$12</f>
        <v>3.0104581390473148E-4</v>
      </c>
      <c r="N628" s="236"/>
      <c r="O628" s="236"/>
      <c r="P628" s="236"/>
      <c r="Q628" s="236"/>
    </row>
    <row r="629" spans="1:17" x14ac:dyDescent="0.35">
      <c r="A629" s="462"/>
      <c r="B629" s="462">
        <v>2</v>
      </c>
      <c r="C629" s="463">
        <v>1</v>
      </c>
      <c r="D629" s="463" t="s">
        <v>46</v>
      </c>
      <c r="E629" s="112" t="s">
        <v>55</v>
      </c>
      <c r="F629" s="92" t="s">
        <v>204</v>
      </c>
      <c r="G629" s="144">
        <f>VLOOKUP(F629,Volumenes!$D$20:$F$222,3,FALSE)</f>
        <v>4</v>
      </c>
      <c r="H629" s="155">
        <f>+Tiempos!E131</f>
        <v>0</v>
      </c>
      <c r="I629" s="103">
        <f>VLOOKUP(F629,Tiempos!$D$42:$F$111,3,FALSE)</f>
        <v>0.22644927536231885</v>
      </c>
      <c r="J629" s="111">
        <f>+I629*(1+Tiempos!$C$17)</f>
        <v>0.23833786231884058</v>
      </c>
      <c r="K629" s="146">
        <f t="shared" si="92"/>
        <v>0.95335144927536231</v>
      </c>
      <c r="L629" s="103">
        <f>+K629/Tiempos!$B$11</f>
        <v>2.0725031505986137E-3</v>
      </c>
      <c r="M629" s="262">
        <f>+K629/Tiempos!$B$12</f>
        <v>1.0362515752993069E-3</v>
      </c>
      <c r="N629" s="237"/>
      <c r="O629" s="237"/>
      <c r="P629" s="237"/>
      <c r="Q629" s="237"/>
    </row>
    <row r="630" spans="1:17" x14ac:dyDescent="0.35">
      <c r="A630" s="464"/>
      <c r="B630" s="464">
        <v>2</v>
      </c>
      <c r="C630" s="465">
        <v>1</v>
      </c>
      <c r="D630" s="465" t="s">
        <v>46</v>
      </c>
      <c r="E630" s="113" t="s">
        <v>237</v>
      </c>
      <c r="F630" s="81" t="s">
        <v>204</v>
      </c>
      <c r="G630" s="180">
        <f>VLOOKUP(F630,Volumenes!$D$20:$F$222,3,FALSE)</f>
        <v>4</v>
      </c>
      <c r="H630" s="97"/>
      <c r="I630" s="98">
        <f>60/60</f>
        <v>1</v>
      </c>
      <c r="J630" s="110">
        <f>+I630*(1+Tiempos!$C$17)</f>
        <v>1.0525</v>
      </c>
      <c r="K630" s="123">
        <f t="shared" si="92"/>
        <v>4.21</v>
      </c>
      <c r="L630" s="98">
        <f>+K630/Tiempos!$B$11</f>
        <v>9.1521739130434789E-3</v>
      </c>
      <c r="M630" s="261">
        <f>+K630/Tiempos!$B$12</f>
        <v>4.5760869565217395E-3</v>
      </c>
      <c r="N630" s="236"/>
      <c r="O630" s="236"/>
      <c r="P630" s="236"/>
      <c r="Q630" s="236"/>
    </row>
    <row r="631" spans="1:17" x14ac:dyDescent="0.35">
      <c r="A631" s="464"/>
      <c r="B631" s="464">
        <v>2</v>
      </c>
      <c r="C631" s="465">
        <v>1</v>
      </c>
      <c r="D631" s="465" t="s">
        <v>46</v>
      </c>
      <c r="E631" s="113" t="s">
        <v>56</v>
      </c>
      <c r="F631" s="81" t="s">
        <v>204</v>
      </c>
      <c r="G631" s="180">
        <f>VLOOKUP(F631,Volumenes!$D$20:$F$222,3,FALSE)</f>
        <v>4</v>
      </c>
      <c r="H631" s="97"/>
      <c r="I631" s="98">
        <f>120/60</f>
        <v>2</v>
      </c>
      <c r="J631" s="110">
        <f>+I631*(1+Tiempos!$C$17)</f>
        <v>2.105</v>
      </c>
      <c r="K631" s="123">
        <f t="shared" si="92"/>
        <v>8.42</v>
      </c>
      <c r="L631" s="98">
        <f>+K631/Tiempos!$B$11</f>
        <v>1.8304347826086958E-2</v>
      </c>
      <c r="M631" s="261">
        <f>+K631/Tiempos!$B$12</f>
        <v>9.1521739130434789E-3</v>
      </c>
      <c r="N631" s="236"/>
      <c r="O631" s="236"/>
      <c r="P631" s="236"/>
      <c r="Q631" s="236"/>
    </row>
    <row r="632" spans="1:17" x14ac:dyDescent="0.35">
      <c r="A632" s="462"/>
      <c r="B632" s="462">
        <v>2</v>
      </c>
      <c r="C632" s="463">
        <v>1</v>
      </c>
      <c r="D632" s="463" t="s">
        <v>46</v>
      </c>
      <c r="E632" s="112" t="s">
        <v>57</v>
      </c>
      <c r="F632" s="92" t="s">
        <v>204</v>
      </c>
      <c r="G632" s="144">
        <f>VLOOKUP(F632,Volumenes!$D$20:$F$222,3,FALSE)</f>
        <v>4</v>
      </c>
      <c r="H632" s="155">
        <f>+H629</f>
        <v>0</v>
      </c>
      <c r="I632" s="103">
        <f>+(H632/Tiempos!$B$28/60)</f>
        <v>0</v>
      </c>
      <c r="J632" s="111">
        <f>+I632*(1+Tiempos!$C$17)</f>
        <v>0</v>
      </c>
      <c r="K632" s="146">
        <f t="shared" si="92"/>
        <v>0</v>
      </c>
      <c r="L632" s="103">
        <f>+K632/Tiempos!$B$11</f>
        <v>0</v>
      </c>
      <c r="M632" s="262">
        <f>+K632/Tiempos!$B$12</f>
        <v>0</v>
      </c>
      <c r="N632" s="237"/>
      <c r="O632" s="237"/>
      <c r="P632" s="237"/>
      <c r="Q632" s="237"/>
    </row>
    <row r="633" spans="1:17" x14ac:dyDescent="0.35">
      <c r="A633" s="464"/>
      <c r="B633" s="464">
        <v>2</v>
      </c>
      <c r="C633" s="465">
        <v>1</v>
      </c>
      <c r="D633" s="465" t="s">
        <v>46</v>
      </c>
      <c r="E633" s="113" t="s">
        <v>240</v>
      </c>
      <c r="F633" s="81" t="s">
        <v>243</v>
      </c>
      <c r="G633" s="143">
        <f>VLOOKUP(F633,Volumenes!$D$20:$F$222,3,FALSE)</f>
        <v>52.629386943915058</v>
      </c>
      <c r="H633" s="97"/>
      <c r="I633" s="98">
        <f>5/60</f>
        <v>8.3333333333333329E-2</v>
      </c>
      <c r="J633" s="110">
        <f>+I633*(1+Tiempos!$C$17)</f>
        <v>8.7708333333333333E-2</v>
      </c>
      <c r="K633" s="123">
        <f t="shared" si="92"/>
        <v>4.6160358132058832</v>
      </c>
      <c r="L633" s="98">
        <f>+K633/Tiempos!$B$11</f>
        <v>1.0034860463491051E-2</v>
      </c>
      <c r="M633" s="261">
        <f>+K633/Tiempos!$B$12</f>
        <v>5.0174302317455254E-3</v>
      </c>
      <c r="N633" s="236"/>
      <c r="O633" s="236"/>
      <c r="P633" s="236"/>
      <c r="Q633" s="236"/>
    </row>
    <row r="634" spans="1:17" x14ac:dyDescent="0.35">
      <c r="A634" s="462"/>
      <c r="B634" s="462">
        <v>2</v>
      </c>
      <c r="C634" s="463">
        <v>1</v>
      </c>
      <c r="D634" s="463" t="s">
        <v>46</v>
      </c>
      <c r="E634" s="112" t="s">
        <v>58</v>
      </c>
      <c r="F634" s="92" t="s">
        <v>204</v>
      </c>
      <c r="G634" s="144">
        <f>VLOOKUP(F634,Volumenes!$D$20:$F$222,3,FALSE)</f>
        <v>4</v>
      </c>
      <c r="H634" s="102">
        <f>VLOOKUP(F634,Tiempos!$D$42:$F$113,2,FALSE)</f>
        <v>20</v>
      </c>
      <c r="I634" s="103">
        <f>+(H634/Tiempos!$B$28/60)</f>
        <v>0.22644927536231885</v>
      </c>
      <c r="J634" s="111">
        <f>+I634*(1+Tiempos!$C$17)</f>
        <v>0.23833786231884058</v>
      </c>
      <c r="K634" s="146">
        <f t="shared" si="92"/>
        <v>0.95335144927536231</v>
      </c>
      <c r="L634" s="103">
        <f>+K634/Tiempos!$B$11</f>
        <v>2.0725031505986137E-3</v>
      </c>
      <c r="M634" s="262">
        <f>+K634/Tiempos!$B$12</f>
        <v>1.0362515752993069E-3</v>
      </c>
      <c r="N634" s="237"/>
      <c r="O634" s="237"/>
      <c r="P634" s="237"/>
      <c r="Q634" s="237"/>
    </row>
    <row r="635" spans="1:17" x14ac:dyDescent="0.35">
      <c r="A635" s="462"/>
      <c r="B635" s="462">
        <v>2</v>
      </c>
      <c r="C635" s="463">
        <v>1</v>
      </c>
      <c r="D635" s="463" t="s">
        <v>327</v>
      </c>
      <c r="E635" s="112" t="s">
        <v>248</v>
      </c>
      <c r="F635" s="92" t="s">
        <v>266</v>
      </c>
      <c r="G635" s="144">
        <f>VLOOKUP(F635,Volumenes!$D$20:$F$184,3,FALSE)</f>
        <v>52.629386943915058</v>
      </c>
      <c r="H635" s="102">
        <v>10</v>
      </c>
      <c r="I635" s="103">
        <f>+(H635/Tiempos!$B$28/60)</f>
        <v>0.11322463768115942</v>
      </c>
      <c r="J635" s="111">
        <f>+I635*(1+Tiempos!$C$17)</f>
        <v>0.11916893115942029</v>
      </c>
      <c r="K635" s="146">
        <f t="shared" si="92"/>
        <v>6.2717877896819063</v>
      </c>
      <c r="L635" s="103">
        <f>+K635/Tiempos!$B$11</f>
        <v>1.3634321281917187E-2</v>
      </c>
      <c r="M635" s="262">
        <f>+K635/Tiempos!$B$12</f>
        <v>6.8171606409585936E-3</v>
      </c>
      <c r="N635" s="237"/>
      <c r="O635" s="237"/>
      <c r="P635" s="237"/>
      <c r="Q635" s="237"/>
    </row>
    <row r="636" spans="1:17" x14ac:dyDescent="0.35">
      <c r="A636" s="464"/>
      <c r="B636" s="464">
        <v>2</v>
      </c>
      <c r="C636" s="465">
        <v>1</v>
      </c>
      <c r="D636" s="465" t="s">
        <v>327</v>
      </c>
      <c r="E636" s="113" t="s">
        <v>259</v>
      </c>
      <c r="F636" s="81" t="s">
        <v>266</v>
      </c>
      <c r="G636" s="143">
        <f>VLOOKUP(F636,Volumenes!$D$20:$F$222,3,FALSE)</f>
        <v>52.629386943915058</v>
      </c>
      <c r="H636" s="97"/>
      <c r="I636" s="98">
        <f>5/60</f>
        <v>8.3333333333333329E-2</v>
      </c>
      <c r="J636" s="110">
        <f>+I636*(1+Tiempos!$C$17)</f>
        <v>8.7708333333333333E-2</v>
      </c>
      <c r="K636" s="123">
        <f>+J636*G636</f>
        <v>4.6160358132058832</v>
      </c>
      <c r="L636" s="98">
        <f>+K636/Tiempos!$B$11</f>
        <v>1.0034860463491051E-2</v>
      </c>
      <c r="M636" s="261">
        <f>+K636/Tiempos!$B$12</f>
        <v>5.0174302317455254E-3</v>
      </c>
      <c r="N636" s="236"/>
      <c r="O636" s="236"/>
      <c r="P636" s="236"/>
      <c r="Q636" s="236"/>
    </row>
    <row r="637" spans="1:17" x14ac:dyDescent="0.35">
      <c r="A637" s="301"/>
      <c r="B637" s="301"/>
      <c r="C637" s="297"/>
      <c r="D637" s="297"/>
      <c r="E637" s="300"/>
      <c r="F637" s="75"/>
      <c r="G637" s="152"/>
      <c r="H637" s="105"/>
      <c r="I637" s="109"/>
      <c r="J637" s="107"/>
      <c r="K637" s="162"/>
      <c r="L637" s="98">
        <f>SUM(L622:L636)</f>
        <v>0.19145395960863235</v>
      </c>
      <c r="M637" s="98">
        <f>SUM(M622:M636)</f>
        <v>9.5726979804316173E-2</v>
      </c>
      <c r="N637" s="295"/>
      <c r="O637" s="295"/>
      <c r="P637" s="295"/>
      <c r="Q637" s="295"/>
    </row>
    <row r="638" spans="1:17" ht="13.15" x14ac:dyDescent="0.35">
      <c r="A638" s="205" t="s">
        <v>428</v>
      </c>
      <c r="B638" s="205"/>
      <c r="C638" s="138"/>
      <c r="D638" s="138"/>
      <c r="E638" s="120"/>
      <c r="F638" s="466"/>
      <c r="G638" s="152"/>
      <c r="H638" s="105"/>
      <c r="I638" s="106"/>
      <c r="J638" s="107"/>
      <c r="K638" s="162"/>
      <c r="L638" s="109"/>
      <c r="M638" s="351"/>
      <c r="N638" s="351"/>
      <c r="O638" s="351"/>
      <c r="P638" s="351"/>
      <c r="Q638" s="351"/>
    </row>
    <row r="639" spans="1:17" s="70" customFormat="1" x14ac:dyDescent="0.35">
      <c r="A639" s="462"/>
      <c r="B639" s="462">
        <v>2</v>
      </c>
      <c r="C639" s="463">
        <v>1</v>
      </c>
      <c r="D639" s="463" t="s">
        <v>46</v>
      </c>
      <c r="E639" s="112" t="s">
        <v>737</v>
      </c>
      <c r="F639" s="480" t="str">
        <f>+Volumenes!D92</f>
        <v>CHI_AUTO</v>
      </c>
      <c r="G639" s="144">
        <f>VLOOKUP(F639,Volumenes!$D$20:$F$222,3,FALSE)</f>
        <v>6.8</v>
      </c>
      <c r="H639" s="102">
        <v>17</v>
      </c>
      <c r="I639" s="103">
        <f>+(H639/Tiempos!B28)/60</f>
        <v>0.19248188405797104</v>
      </c>
      <c r="J639" s="111">
        <f>+I639*(1+Tiempos!$C$17)</f>
        <v>0.20258718297101452</v>
      </c>
      <c r="K639" s="146">
        <f>+J639*G639</f>
        <v>1.3775928442028986</v>
      </c>
      <c r="L639" s="103">
        <f>+K639/Tiempos!$B$11</f>
        <v>2.9947670526149972E-3</v>
      </c>
      <c r="M639" s="467">
        <f>+K639/Tiempos!$B$12</f>
        <v>1.4973835263074986E-3</v>
      </c>
      <c r="N639" s="468" t="str">
        <f>IF($D639=Tiempos!$A$35,"",IF($B639=Tiempos!$A$36,M639,M639/2))</f>
        <v/>
      </c>
      <c r="O639" s="468"/>
      <c r="P639" s="468" t="str">
        <f>IF($D639=Tiempos!$A$35,"",IF($B639=Tiempos!$A$36,N639,N639/2))</f>
        <v/>
      </c>
      <c r="Q639" s="468" t="str">
        <f>IF($D639=Tiempos!$A$35,"",IF($B639=Tiempos!$A$36,P639,P639/2))</f>
        <v/>
      </c>
    </row>
    <row r="640" spans="1:17" s="70" customFormat="1" x14ac:dyDescent="0.35">
      <c r="A640" s="464"/>
      <c r="B640" s="464">
        <v>2</v>
      </c>
      <c r="C640" s="465">
        <v>1</v>
      </c>
      <c r="D640" s="465" t="s">
        <v>46</v>
      </c>
      <c r="E640" s="113" t="s">
        <v>916</v>
      </c>
      <c r="F640" s="481" t="str">
        <f>+F639</f>
        <v>CHI_AUTO</v>
      </c>
      <c r="G640" s="143">
        <f>VLOOKUP(F640,Volumenes!$D$20:$F$184,3,FALSE)</f>
        <v>6.8</v>
      </c>
      <c r="H640" s="97"/>
      <c r="I640" s="98">
        <f>20/60</f>
        <v>0.33333333333333331</v>
      </c>
      <c r="J640" s="110">
        <f>+I640*(1+Tiempos!$C$17)</f>
        <v>0.35083333333333333</v>
      </c>
      <c r="K640" s="123">
        <f>+J640*G640</f>
        <v>2.3856666666666664</v>
      </c>
      <c r="L640" s="98">
        <f>+K640/Tiempos!$B$11</f>
        <v>5.1862318840579704E-3</v>
      </c>
      <c r="M640" s="469">
        <f>+K640/Tiempos!$B$12</f>
        <v>2.5931159420289852E-3</v>
      </c>
      <c r="N640" s="470"/>
      <c r="O640" s="470"/>
      <c r="P640" s="470"/>
      <c r="Q640" s="470"/>
    </row>
    <row r="641" spans="1:17" s="70" customFormat="1" x14ac:dyDescent="0.35">
      <c r="A641" s="462"/>
      <c r="B641" s="462">
        <v>2</v>
      </c>
      <c r="C641" s="463">
        <v>1</v>
      </c>
      <c r="D641" s="463" t="s">
        <v>46</v>
      </c>
      <c r="E641" s="112" t="s">
        <v>917</v>
      </c>
      <c r="F641" s="480" t="str">
        <f>+F640</f>
        <v>CHI_AUTO</v>
      </c>
      <c r="G641" s="144">
        <f>VLOOKUP(F641,Volumenes!$D$20:$F$184,3,FALSE)</f>
        <v>6.8</v>
      </c>
      <c r="H641" s="155">
        <v>17</v>
      </c>
      <c r="I641" s="103">
        <f>+(H641/Tiempos!B28)/60</f>
        <v>0.19248188405797104</v>
      </c>
      <c r="J641" s="111">
        <f>+I641*(1+Tiempos!$C$17)</f>
        <v>0.20258718297101452</v>
      </c>
      <c r="K641" s="146">
        <f>+J641*G641</f>
        <v>1.3775928442028986</v>
      </c>
      <c r="L641" s="103">
        <f>+K641/Tiempos!$B$11</f>
        <v>2.9947670526149972E-3</v>
      </c>
      <c r="M641" s="467">
        <f>+K641/Tiempos!$B$12</f>
        <v>1.4973835263074986E-3</v>
      </c>
      <c r="N641" s="468"/>
      <c r="O641" s="468"/>
      <c r="P641" s="468"/>
      <c r="Q641" s="468"/>
    </row>
    <row r="642" spans="1:17" s="70" customFormat="1" x14ac:dyDescent="0.35">
      <c r="A642" s="464"/>
      <c r="B642" s="464">
        <v>2</v>
      </c>
      <c r="C642" s="465">
        <v>1</v>
      </c>
      <c r="D642" s="465" t="s">
        <v>46</v>
      </c>
      <c r="E642" s="113" t="s">
        <v>918</v>
      </c>
      <c r="F642" s="481" t="str">
        <f>+F641</f>
        <v>CHI_AUTO</v>
      </c>
      <c r="G642" s="143">
        <f>VLOOKUP(F642,Volumenes!$D$20:$F$184,3,FALSE)</f>
        <v>6.8</v>
      </c>
      <c r="H642" s="97"/>
      <c r="I642" s="98">
        <f>15/60</f>
        <v>0.25</v>
      </c>
      <c r="J642" s="110">
        <f>+I642*(1+Tiempos!$C$17)</f>
        <v>0.263125</v>
      </c>
      <c r="K642" s="123">
        <f t="shared" ref="K642" si="93">+J642*G642</f>
        <v>1.78925</v>
      </c>
      <c r="L642" s="98">
        <f>+K642/Tiempos!$B$11</f>
        <v>3.8896739130434782E-3</v>
      </c>
      <c r="M642" s="469">
        <f>+K642/Tiempos!$B$12</f>
        <v>1.9448369565217391E-3</v>
      </c>
      <c r="N642" s="470"/>
      <c r="O642" s="470"/>
      <c r="P642" s="470"/>
      <c r="Q642" s="470"/>
    </row>
    <row r="643" spans="1:17" s="70" customFormat="1" x14ac:dyDescent="0.35">
      <c r="A643" s="464"/>
      <c r="B643" s="464">
        <v>2</v>
      </c>
      <c r="C643" s="465">
        <v>1</v>
      </c>
      <c r="D643" s="465" t="s">
        <v>327</v>
      </c>
      <c r="E643" s="113" t="s">
        <v>1084</v>
      </c>
      <c r="F643" s="481" t="str">
        <f>+F642</f>
        <v>CHI_AUTO</v>
      </c>
      <c r="G643" s="143">
        <f>VLOOKUP(F643,Volumenes!$D$20:$F$184,3,FALSE)</f>
        <v>6.8</v>
      </c>
      <c r="H643" s="97"/>
      <c r="I643" s="98">
        <f>18/60</f>
        <v>0.3</v>
      </c>
      <c r="J643" s="110">
        <f>+I643*(1+Tiempos!$C$17)</f>
        <v>0.31574999999999998</v>
      </c>
      <c r="K643" s="123">
        <f>+J643*G643</f>
        <v>2.1470999999999996</v>
      </c>
      <c r="L643" s="98">
        <f>+K643/Tiempos!$B$11</f>
        <v>4.6676086956521732E-3</v>
      </c>
      <c r="M643" s="469">
        <f>+K643/Tiempos!$B$12</f>
        <v>2.3338043478260866E-3</v>
      </c>
      <c r="N643" s="471"/>
      <c r="O643" s="471"/>
      <c r="P643" s="471"/>
      <c r="Q643" s="471"/>
    </row>
    <row r="644" spans="1:17" s="70" customFormat="1" x14ac:dyDescent="0.35">
      <c r="A644" s="464"/>
      <c r="B644" s="464">
        <v>2</v>
      </c>
      <c r="C644" s="465">
        <v>1</v>
      </c>
      <c r="D644" s="465" t="s">
        <v>327</v>
      </c>
      <c r="E644" s="113" t="s">
        <v>920</v>
      </c>
      <c r="F644" s="481" t="str">
        <f>+Volumenes!D93</f>
        <v>CHI_AUTO_RECH</v>
      </c>
      <c r="G644" s="143">
        <f>VLOOKUP(F644,Volumenes!$D$20:$F$184,3,FALSE)</f>
        <v>0.20399999999999999</v>
      </c>
      <c r="H644" s="97"/>
      <c r="I644" s="98">
        <v>1</v>
      </c>
      <c r="J644" s="110">
        <f>+I644*(1+Tiempos!$C$17)</f>
        <v>1.0525</v>
      </c>
      <c r="K644" s="123">
        <f t="shared" ref="K644" si="94">+J644*G644</f>
        <v>0.21470999999999998</v>
      </c>
      <c r="L644" s="98">
        <f>+K644/Tiempos!$B$11</f>
        <v>4.6676086956521734E-4</v>
      </c>
      <c r="M644" s="469">
        <f>+K644/Tiempos!$B$12</f>
        <v>2.3338043478260867E-4</v>
      </c>
      <c r="N644" s="471"/>
      <c r="O644" s="471"/>
      <c r="P644" s="471"/>
      <c r="Q644" s="471"/>
    </row>
    <row r="645" spans="1:17" x14ac:dyDescent="0.35">
      <c r="A645" s="466"/>
      <c r="B645" s="466"/>
      <c r="C645" s="138"/>
      <c r="D645" s="138"/>
      <c r="E645" s="120"/>
      <c r="F645" s="466"/>
      <c r="G645" s="152"/>
      <c r="H645" s="177"/>
      <c r="I645" s="109"/>
      <c r="J645" s="107"/>
      <c r="K645" s="162"/>
      <c r="L645" s="98">
        <f>SUM(L639:L644)</f>
        <v>2.0199809467548836E-2</v>
      </c>
      <c r="M645" s="98">
        <f>SUM(M639:M644)</f>
        <v>1.0099904733774418E-2</v>
      </c>
      <c r="N645" s="470"/>
      <c r="O645" s="470"/>
      <c r="P645" s="470"/>
      <c r="Q645" s="470"/>
    </row>
    <row r="646" spans="1:17" x14ac:dyDescent="0.35">
      <c r="A646" s="466"/>
      <c r="B646" s="466"/>
      <c r="C646" s="138"/>
      <c r="D646" s="138"/>
      <c r="E646" s="120"/>
      <c r="F646" s="466"/>
      <c r="G646" s="152"/>
      <c r="H646" s="177"/>
      <c r="I646" s="109"/>
      <c r="J646" s="107"/>
      <c r="K646" s="162"/>
      <c r="L646" s="109"/>
      <c r="M646" s="109"/>
      <c r="N646" s="351"/>
      <c r="O646" s="351"/>
      <c r="P646" s="351"/>
      <c r="Q646" s="351"/>
    </row>
    <row r="647" spans="1:17" ht="13.15" x14ac:dyDescent="0.4">
      <c r="A647" s="296" t="s">
        <v>909</v>
      </c>
      <c r="B647" s="296"/>
      <c r="C647" s="138"/>
      <c r="D647" s="138"/>
      <c r="E647" s="120"/>
      <c r="F647" s="75"/>
      <c r="G647" s="152"/>
      <c r="H647" s="177"/>
      <c r="I647" s="109"/>
      <c r="J647" s="107"/>
      <c r="K647" s="162"/>
      <c r="L647" s="109"/>
      <c r="M647" s="45"/>
      <c r="N647" s="45"/>
      <c r="O647" s="45"/>
      <c r="P647" s="45"/>
      <c r="Q647" s="45"/>
    </row>
    <row r="648" spans="1:17" s="70" customFormat="1" x14ac:dyDescent="0.35">
      <c r="A648" s="462"/>
      <c r="B648" s="462">
        <v>2</v>
      </c>
      <c r="C648" s="463">
        <v>1</v>
      </c>
      <c r="D648" s="463" t="s">
        <v>46</v>
      </c>
      <c r="E648" s="112" t="s">
        <v>249</v>
      </c>
      <c r="F648" s="477" t="str">
        <f>+Volumenes!D205</f>
        <v>ARM_ALM</v>
      </c>
      <c r="G648" s="155">
        <f>VLOOKUP(F648,Volumenes!$D$20:$F$222,3,FALSE)</f>
        <v>1</v>
      </c>
      <c r="H648" s="155">
        <f>VLOOKUP(F648,Tiempos!$D$42:$F$113,2,FALSE)</f>
        <v>55</v>
      </c>
      <c r="I648" s="103">
        <f>VLOOKUP(F648,Tiempos!$D$42:$F$111,3,FALSE)</f>
        <v>0.47008547008547008</v>
      </c>
      <c r="J648" s="111">
        <f>+I648*(1+Tiempos!$C$17)</f>
        <v>0.49476495726495728</v>
      </c>
      <c r="K648" s="146">
        <f>+J648*G648</f>
        <v>0.49476495726495728</v>
      </c>
      <c r="L648" s="103">
        <f>+K648/Tiempos!$B$11</f>
        <v>1.075575994054255E-3</v>
      </c>
      <c r="M648" s="262">
        <f>+K648/Tiempos!$B$12</f>
        <v>5.3778799702712749E-4</v>
      </c>
      <c r="N648" s="234"/>
      <c r="O648" s="234"/>
      <c r="P648" s="234"/>
      <c r="Q648" s="234"/>
    </row>
    <row r="649" spans="1:17" s="70" customFormat="1" x14ac:dyDescent="0.35">
      <c r="A649" s="464"/>
      <c r="B649" s="464">
        <v>2</v>
      </c>
      <c r="C649" s="465">
        <v>1</v>
      </c>
      <c r="D649" s="465" t="s">
        <v>327</v>
      </c>
      <c r="E649" s="113" t="s">
        <v>79</v>
      </c>
      <c r="F649" s="478" t="str">
        <f t="shared" ref="F649:F657" si="95">+F648</f>
        <v>ARM_ALM</v>
      </c>
      <c r="G649" s="180">
        <f>VLOOKUP(F649,Volumenes!$D$20:$F$222,3,FALSE)</f>
        <v>1</v>
      </c>
      <c r="H649" s="97"/>
      <c r="I649" s="98">
        <f>25/60</f>
        <v>0.41666666666666669</v>
      </c>
      <c r="J649" s="110">
        <f>+I649*(1+Tiempos!$C$17)</f>
        <v>0.43854166666666666</v>
      </c>
      <c r="K649" s="123">
        <f t="shared" ref="K649:K657" si="96">+J649*G649</f>
        <v>0.43854166666666666</v>
      </c>
      <c r="L649" s="98">
        <f>+K649/Tiempos!$B$11</f>
        <v>9.5335144927536232E-4</v>
      </c>
      <c r="M649" s="261">
        <f>+K649/Tiempos!$B$12</f>
        <v>4.7667572463768116E-4</v>
      </c>
      <c r="N649" s="236"/>
      <c r="O649" s="236"/>
      <c r="P649" s="236"/>
      <c r="Q649" s="236"/>
    </row>
    <row r="650" spans="1:17" s="70" customFormat="1" x14ac:dyDescent="0.35">
      <c r="A650" s="462"/>
      <c r="B650" s="462">
        <v>2</v>
      </c>
      <c r="C650" s="463">
        <v>1</v>
      </c>
      <c r="D650" s="463" t="s">
        <v>327</v>
      </c>
      <c r="E650" s="112" t="s">
        <v>80</v>
      </c>
      <c r="F650" s="477" t="str">
        <f t="shared" si="95"/>
        <v>ARM_ALM</v>
      </c>
      <c r="G650" s="155">
        <f>VLOOKUP(F650,Volumenes!$D$20:$F$222,3,FALSE)</f>
        <v>1</v>
      </c>
      <c r="H650" s="155">
        <v>10</v>
      </c>
      <c r="I650" s="103">
        <f>VLOOKUP(F650,Tiempos!$D$42:$F$111,3,FALSE)</f>
        <v>0.47008547008547008</v>
      </c>
      <c r="J650" s="111">
        <f>+I650*(1+Tiempos!$C$17)</f>
        <v>0.49476495726495728</v>
      </c>
      <c r="K650" s="146">
        <f t="shared" si="96"/>
        <v>0.49476495726495728</v>
      </c>
      <c r="L650" s="103">
        <f>+K650/Tiempos!$B$11</f>
        <v>1.075575994054255E-3</v>
      </c>
      <c r="M650" s="262">
        <f>+K650/Tiempos!$B$12</f>
        <v>5.3778799702712749E-4</v>
      </c>
      <c r="N650" s="237"/>
      <c r="O650" s="237"/>
      <c r="P650" s="237"/>
      <c r="Q650" s="237"/>
    </row>
    <row r="651" spans="1:17" s="70" customFormat="1" x14ac:dyDescent="0.35">
      <c r="A651" s="464"/>
      <c r="B651" s="464">
        <v>2</v>
      </c>
      <c r="C651" s="465">
        <v>1</v>
      </c>
      <c r="D651" s="465" t="s">
        <v>327</v>
      </c>
      <c r="E651" s="113" t="s">
        <v>81</v>
      </c>
      <c r="F651" s="478" t="str">
        <f t="shared" si="95"/>
        <v>ARM_ALM</v>
      </c>
      <c r="G651" s="180">
        <f>VLOOKUP(F651,Volumenes!$D$20:$F$222,3,FALSE)</f>
        <v>1</v>
      </c>
      <c r="H651" s="97"/>
      <c r="I651" s="98">
        <f>15/60</f>
        <v>0.25</v>
      </c>
      <c r="J651" s="110">
        <f>+I651*(1+Tiempos!$C$17)</f>
        <v>0.263125</v>
      </c>
      <c r="K651" s="123">
        <f t="shared" si="96"/>
        <v>0.263125</v>
      </c>
      <c r="L651" s="98">
        <f>+K651/Tiempos!$B$11</f>
        <v>5.7201086956521743E-4</v>
      </c>
      <c r="M651" s="261">
        <f>+K651/Tiempos!$B$12</f>
        <v>2.8600543478260872E-4</v>
      </c>
      <c r="N651" s="236"/>
      <c r="O651" s="236"/>
      <c r="P651" s="236"/>
      <c r="Q651" s="236"/>
    </row>
    <row r="652" spans="1:17" x14ac:dyDescent="0.35">
      <c r="A652" s="464"/>
      <c r="B652" s="464">
        <v>2</v>
      </c>
      <c r="C652" s="465">
        <v>1</v>
      </c>
      <c r="D652" s="465" t="s">
        <v>46</v>
      </c>
      <c r="E652" s="113" t="s">
        <v>1085</v>
      </c>
      <c r="F652" s="391" t="str">
        <f t="shared" si="95"/>
        <v>ARM_ALM</v>
      </c>
      <c r="G652" s="180">
        <f>VLOOKUP(F652,Volumenes!$D$20:$F$222,3,FALSE)</f>
        <v>1</v>
      </c>
      <c r="H652" s="97"/>
      <c r="I652" s="98">
        <f>5/60</f>
        <v>8.3333333333333329E-2</v>
      </c>
      <c r="J652" s="110">
        <f>+I652*(1+Tiempos!$C$17)</f>
        <v>8.7708333333333333E-2</v>
      </c>
      <c r="K652" s="123">
        <f t="shared" si="96"/>
        <v>8.7708333333333333E-2</v>
      </c>
      <c r="L652" s="98">
        <f>+K652/Tiempos!$B$11</f>
        <v>1.9067028985507247E-4</v>
      </c>
      <c r="M652" s="261">
        <f>+K652/Tiempos!$B$12</f>
        <v>9.5335144927536234E-5</v>
      </c>
      <c r="N652" s="236"/>
      <c r="O652" s="236"/>
      <c r="P652" s="236"/>
      <c r="Q652" s="236"/>
    </row>
    <row r="653" spans="1:17" x14ac:dyDescent="0.35">
      <c r="A653" s="462"/>
      <c r="B653" s="462">
        <v>2</v>
      </c>
      <c r="C653" s="463">
        <v>1</v>
      </c>
      <c r="D653" s="463" t="s">
        <v>46</v>
      </c>
      <c r="E653" s="112" t="s">
        <v>53</v>
      </c>
      <c r="F653" s="393" t="str">
        <f t="shared" si="95"/>
        <v>ARM_ALM</v>
      </c>
      <c r="G653" s="155">
        <f>VLOOKUP(F653,Volumenes!$D$20:$F$222,3,FALSE)</f>
        <v>1</v>
      </c>
      <c r="H653" s="102">
        <f>VLOOKUP(F653,Tiempos!$D$42:$F$113,2,FALSE)</f>
        <v>55</v>
      </c>
      <c r="I653" s="103">
        <f>VLOOKUP(F653,Tiempos!$D$42:$F$111,3,FALSE)</f>
        <v>0.47008547008547008</v>
      </c>
      <c r="J653" s="111">
        <f>+I653*(1+Tiempos!$C$17)</f>
        <v>0.49476495726495728</v>
      </c>
      <c r="K653" s="146">
        <f t="shared" si="96"/>
        <v>0.49476495726495728</v>
      </c>
      <c r="L653" s="103">
        <f>+K653/Tiempos!$B$11</f>
        <v>1.075575994054255E-3</v>
      </c>
      <c r="M653" s="262">
        <f>+K653/Tiempos!$B$12</f>
        <v>5.3778799702712749E-4</v>
      </c>
      <c r="N653" s="237"/>
      <c r="O653" s="237"/>
      <c r="P653" s="237"/>
      <c r="Q653" s="237"/>
    </row>
    <row r="654" spans="1:17" x14ac:dyDescent="0.35">
      <c r="A654" s="464"/>
      <c r="B654" s="464">
        <v>2</v>
      </c>
      <c r="C654" s="465">
        <v>1</v>
      </c>
      <c r="D654" s="465" t="s">
        <v>46</v>
      </c>
      <c r="E654" s="113" t="s">
        <v>56</v>
      </c>
      <c r="F654" s="391" t="str">
        <f t="shared" si="95"/>
        <v>ARM_ALM</v>
      </c>
      <c r="G654" s="180">
        <f>VLOOKUP(F654,Volumenes!$D$20:$F$222,3,FALSE)</f>
        <v>1</v>
      </c>
      <c r="H654" s="97"/>
      <c r="I654" s="98">
        <f>120/60</f>
        <v>2</v>
      </c>
      <c r="J654" s="110">
        <f>+I654*(1+Tiempos!$C$17)</f>
        <v>2.105</v>
      </c>
      <c r="K654" s="123">
        <f t="shared" si="96"/>
        <v>2.105</v>
      </c>
      <c r="L654" s="98">
        <f>+K654/Tiempos!$B$11</f>
        <v>4.5760869565217395E-3</v>
      </c>
      <c r="M654" s="261">
        <f>+K654/Tiempos!$B$12</f>
        <v>2.2880434782608697E-3</v>
      </c>
      <c r="N654" s="236"/>
      <c r="O654" s="236"/>
      <c r="P654" s="236"/>
      <c r="Q654" s="236"/>
    </row>
    <row r="655" spans="1:17" x14ac:dyDescent="0.35">
      <c r="A655" s="462"/>
      <c r="B655" s="462">
        <v>2</v>
      </c>
      <c r="C655" s="463">
        <v>1</v>
      </c>
      <c r="D655" s="463" t="s">
        <v>46</v>
      </c>
      <c r="E655" s="112" t="s">
        <v>57</v>
      </c>
      <c r="F655" s="393" t="str">
        <f t="shared" si="95"/>
        <v>ARM_ALM</v>
      </c>
      <c r="G655" s="155">
        <f>VLOOKUP(F655,Volumenes!$D$20:$F$222,3,FALSE)</f>
        <v>1</v>
      </c>
      <c r="H655" s="155">
        <v>30</v>
      </c>
      <c r="I655" s="103">
        <f>+(H655/Tiempos!$B$28/60)</f>
        <v>0.33967391304347827</v>
      </c>
      <c r="J655" s="111">
        <f>+I655*(1+Tiempos!$C$17)</f>
        <v>0.35750679347826086</v>
      </c>
      <c r="K655" s="146">
        <f t="shared" si="96"/>
        <v>0.35750679347826086</v>
      </c>
      <c r="L655" s="103">
        <f>+K655/Tiempos!$B$11</f>
        <v>7.7718868147448009E-4</v>
      </c>
      <c r="M655" s="262">
        <f>+K655/Tiempos!$B$12</f>
        <v>3.8859434073724005E-4</v>
      </c>
      <c r="N655" s="237"/>
      <c r="O655" s="237"/>
      <c r="P655" s="237"/>
      <c r="Q655" s="237"/>
    </row>
    <row r="656" spans="1:17" x14ac:dyDescent="0.35">
      <c r="A656" s="464"/>
      <c r="B656" s="464">
        <v>2</v>
      </c>
      <c r="C656" s="465">
        <v>1</v>
      </c>
      <c r="D656" s="465" t="s">
        <v>46</v>
      </c>
      <c r="E656" s="113" t="s">
        <v>240</v>
      </c>
      <c r="F656" s="391" t="str">
        <f t="shared" si="95"/>
        <v>ARM_ALM</v>
      </c>
      <c r="G656" s="180">
        <f>VLOOKUP(F656,Volumenes!$D$20:$F$222,3,FALSE)</f>
        <v>1</v>
      </c>
      <c r="H656" s="97"/>
      <c r="I656" s="98">
        <f>5/60</f>
        <v>8.3333333333333329E-2</v>
      </c>
      <c r="J656" s="110">
        <f>+I656*(1+Tiempos!$C$17)</f>
        <v>8.7708333333333333E-2</v>
      </c>
      <c r="K656" s="123">
        <f t="shared" si="96"/>
        <v>8.7708333333333333E-2</v>
      </c>
      <c r="L656" s="98">
        <f>+K656/Tiempos!$B$11</f>
        <v>1.9067028985507247E-4</v>
      </c>
      <c r="M656" s="261">
        <f>+K656/Tiempos!$B$12</f>
        <v>9.5335144927536234E-5</v>
      </c>
      <c r="N656" s="236"/>
      <c r="O656" s="236"/>
      <c r="P656" s="236"/>
      <c r="Q656" s="236"/>
    </row>
    <row r="657" spans="1:17" x14ac:dyDescent="0.35">
      <c r="A657" s="462"/>
      <c r="B657" s="462">
        <v>2</v>
      </c>
      <c r="C657" s="463">
        <v>1</v>
      </c>
      <c r="D657" s="463" t="s">
        <v>46</v>
      </c>
      <c r="E657" s="112" t="s">
        <v>58</v>
      </c>
      <c r="F657" s="393" t="str">
        <f t="shared" si="95"/>
        <v>ARM_ALM</v>
      </c>
      <c r="G657" s="155">
        <f>VLOOKUP(F657,Volumenes!$D$20:$F$222,3,FALSE)</f>
        <v>1</v>
      </c>
      <c r="H657" s="102">
        <f>VLOOKUP(F657,Tiempos!$D$42:$F$113,2,FALSE)</f>
        <v>55</v>
      </c>
      <c r="I657" s="103">
        <f>+(H657/Tiempos!$B$28/60)</f>
        <v>0.62273550724637683</v>
      </c>
      <c r="J657" s="111">
        <f>+I657*(1+Tiempos!$C$17)</f>
        <v>0.65542912137681164</v>
      </c>
      <c r="K657" s="146">
        <f t="shared" si="96"/>
        <v>0.65542912137681164</v>
      </c>
      <c r="L657" s="103">
        <f>+K657/Tiempos!$B$11</f>
        <v>1.4248459160365471E-3</v>
      </c>
      <c r="M657" s="262">
        <f>+K657/Tiempos!$B$12</f>
        <v>7.1242295801827353E-4</v>
      </c>
      <c r="N657" s="237"/>
      <c r="O657" s="237"/>
      <c r="P657" s="237"/>
      <c r="Q657" s="237"/>
    </row>
    <row r="658" spans="1:17" x14ac:dyDescent="0.35">
      <c r="A658" s="301"/>
      <c r="B658" s="301"/>
      <c r="C658" s="297"/>
      <c r="D658" s="297"/>
      <c r="E658" s="300"/>
      <c r="F658" s="75"/>
      <c r="G658" s="152"/>
      <c r="H658" s="105"/>
      <c r="I658" s="109"/>
      <c r="J658" s="107"/>
      <c r="K658" s="162"/>
      <c r="L658" s="98">
        <f>SUM(L648:L657)</f>
        <v>1.1911552434746255E-2</v>
      </c>
      <c r="M658" s="98">
        <f>SUM(M648:M657)</f>
        <v>5.9557762173731276E-3</v>
      </c>
      <c r="N658" s="295"/>
      <c r="O658" s="295"/>
      <c r="P658" s="295"/>
      <c r="Q658" s="295"/>
    </row>
    <row r="659" spans="1:17" x14ac:dyDescent="0.35">
      <c r="A659" s="466"/>
      <c r="B659" s="466"/>
      <c r="C659" s="138"/>
      <c r="D659" s="138"/>
      <c r="E659" s="120"/>
      <c r="F659" s="466"/>
      <c r="G659" s="152"/>
      <c r="H659" s="177"/>
      <c r="I659" s="109"/>
      <c r="J659" s="107"/>
      <c r="K659" s="162"/>
      <c r="L659" s="109"/>
      <c r="M659" s="109"/>
      <c r="N659" s="351"/>
      <c r="O659" s="351"/>
      <c r="P659" s="351"/>
      <c r="Q659" s="351"/>
    </row>
    <row r="660" spans="1:17" ht="13.15" x14ac:dyDescent="0.4">
      <c r="A660" s="84" t="s">
        <v>1086</v>
      </c>
      <c r="B660" s="84"/>
      <c r="C660" s="138"/>
      <c r="D660" s="138"/>
      <c r="E660" s="351"/>
      <c r="F660" s="75"/>
      <c r="G660" s="152"/>
      <c r="H660" s="105"/>
      <c r="I660" s="106"/>
      <c r="J660" s="107"/>
      <c r="K660" s="162"/>
      <c r="L660" s="109"/>
    </row>
    <row r="661" spans="1:17" x14ac:dyDescent="0.35">
      <c r="A661" s="464"/>
      <c r="B661" s="464">
        <v>2</v>
      </c>
      <c r="C661" s="465">
        <v>1</v>
      </c>
      <c r="D661" s="465" t="s">
        <v>327</v>
      </c>
      <c r="E661" s="99" t="s">
        <v>899</v>
      </c>
      <c r="F661" s="81" t="str">
        <f>+Volumenes!D37</f>
        <v>CHA_SANT_2D_AUT</v>
      </c>
      <c r="G661" s="143">
        <f>VLOOKUP(F661,Volumenes!$D$20:$F$222,3,FALSE)</f>
        <v>74.558298170546323</v>
      </c>
      <c r="H661" s="97"/>
      <c r="I661" s="98">
        <f>15/60</f>
        <v>0.25</v>
      </c>
      <c r="J661" s="110">
        <f>+I661*(1+Tiempos!$C$17)</f>
        <v>0.263125</v>
      </c>
      <c r="K661" s="123">
        <f t="shared" ref="K661:K671" si="97">+J661*G661</f>
        <v>19.618152206125</v>
      </c>
      <c r="L661" s="98">
        <f>+K661/Tiempos!$B$11</f>
        <v>4.2648156969836953E-2</v>
      </c>
      <c r="M661" s="261">
        <f>+K661/Tiempos!$B$12</f>
        <v>2.1324078484918477E-2</v>
      </c>
      <c r="N661" s="238"/>
      <c r="O661" s="238"/>
      <c r="P661" s="238"/>
      <c r="Q661" s="238"/>
    </row>
    <row r="662" spans="1:17" x14ac:dyDescent="0.35">
      <c r="A662" s="464"/>
      <c r="B662" s="464">
        <v>2</v>
      </c>
      <c r="C662" s="465">
        <v>1</v>
      </c>
      <c r="D662" s="465" t="s">
        <v>327</v>
      </c>
      <c r="E662" s="99" t="s">
        <v>900</v>
      </c>
      <c r="F662" s="81" t="str">
        <f>+F661</f>
        <v>CHA_SANT_2D_AUT</v>
      </c>
      <c r="G662" s="143">
        <f>VLOOKUP(F662,Volumenes!$D$20:$F$222,3,FALSE)</f>
        <v>74.558298170546323</v>
      </c>
      <c r="H662" s="97"/>
      <c r="I662" s="98">
        <f>8/60</f>
        <v>0.13333333333333333</v>
      </c>
      <c r="J662" s="110">
        <f>+I662*(1+Tiempos!$C$17)</f>
        <v>0.14033333333333334</v>
      </c>
      <c r="K662" s="123">
        <f t="shared" si="97"/>
        <v>10.463014509933334</v>
      </c>
      <c r="L662" s="98">
        <f>+K662/Tiempos!$B$11</f>
        <v>2.274568371724638E-2</v>
      </c>
      <c r="M662" s="261">
        <f>+K662/Tiempos!$B$12</f>
        <v>1.137284185862319E-2</v>
      </c>
      <c r="N662" s="238"/>
      <c r="O662" s="238"/>
      <c r="P662" s="238"/>
      <c r="Q662" s="238"/>
    </row>
    <row r="663" spans="1:17" x14ac:dyDescent="0.35">
      <c r="A663" s="462"/>
      <c r="B663" s="462">
        <v>2</v>
      </c>
      <c r="C663" s="463">
        <v>1</v>
      </c>
      <c r="D663" s="463" t="s">
        <v>327</v>
      </c>
      <c r="E663" s="101" t="s">
        <v>435</v>
      </c>
      <c r="F663" s="92" t="str">
        <f>+F661</f>
        <v>CHA_SANT_2D_AUT</v>
      </c>
      <c r="G663" s="144">
        <f>VLOOKUP(F663,Volumenes!$D$20:$F$222,3,FALSE)</f>
        <v>74.558298170546323</v>
      </c>
      <c r="H663" s="102">
        <v>30</v>
      </c>
      <c r="I663" s="103">
        <f>+(H663/Tiempos!B29)/60</f>
        <v>0.25641025641025644</v>
      </c>
      <c r="J663" s="111">
        <f>+I663*(1+Tiempos!$C$17)</f>
        <v>0.26987179487179491</v>
      </c>
      <c r="K663" s="146">
        <f t="shared" si="97"/>
        <v>20.121181749871798</v>
      </c>
      <c r="L663" s="103">
        <f>+K663/Tiempos!$B$11</f>
        <v>4.3741699456243038E-2</v>
      </c>
      <c r="M663" s="262">
        <f>+K663/Tiempos!$B$12</f>
        <v>2.1870849728121519E-2</v>
      </c>
      <c r="N663" s="243"/>
      <c r="O663" s="243"/>
      <c r="P663" s="243"/>
      <c r="Q663" s="243"/>
    </row>
    <row r="664" spans="1:17" x14ac:dyDescent="0.35">
      <c r="A664" s="464"/>
      <c r="B664" s="464">
        <v>2</v>
      </c>
      <c r="C664" s="465">
        <v>1</v>
      </c>
      <c r="D664" s="465" t="s">
        <v>327</v>
      </c>
      <c r="E664" s="99" t="s">
        <v>169</v>
      </c>
      <c r="F664" s="81" t="str">
        <f>+F663</f>
        <v>CHA_SANT_2D_AUT</v>
      </c>
      <c r="G664" s="143">
        <f>VLOOKUP(F664,Volumenes!$D$20:$F$222,3,FALSE)</f>
        <v>74.558298170546323</v>
      </c>
      <c r="H664" s="97"/>
      <c r="I664" s="98">
        <f>25/60</f>
        <v>0.41666666666666669</v>
      </c>
      <c r="J664" s="110">
        <f>+I664*(1+Tiempos!$C$17)</f>
        <v>0.43854166666666666</v>
      </c>
      <c r="K664" s="123">
        <f t="shared" si="97"/>
        <v>32.69692034354167</v>
      </c>
      <c r="L664" s="98">
        <f>+K664/Tiempos!$B$11</f>
        <v>7.1080261616394941E-2</v>
      </c>
      <c r="M664" s="261">
        <f>+K664/Tiempos!$B$12</f>
        <v>3.554013080819747E-2</v>
      </c>
      <c r="N664" s="238"/>
      <c r="O664" s="238"/>
      <c r="P664" s="238"/>
      <c r="Q664" s="238"/>
    </row>
    <row r="665" spans="1:17" x14ac:dyDescent="0.35">
      <c r="A665" s="462"/>
      <c r="B665" s="462">
        <v>2</v>
      </c>
      <c r="C665" s="463">
        <v>1</v>
      </c>
      <c r="D665" s="463" t="s">
        <v>327</v>
      </c>
      <c r="E665" s="101" t="s">
        <v>436</v>
      </c>
      <c r="F665" s="92" t="str">
        <f>+F664</f>
        <v>CHA_SANT_2D_AUT</v>
      </c>
      <c r="G665" s="144">
        <f>VLOOKUP(F665,Volumenes!$D$20:$F$222,3,FALSE)</f>
        <v>74.558298170546323</v>
      </c>
      <c r="H665" s="102">
        <v>30</v>
      </c>
      <c r="I665" s="103">
        <f>+(H665/Tiempos!B29)/60</f>
        <v>0.25641025641025644</v>
      </c>
      <c r="J665" s="111">
        <f>+I665*(1+Tiempos!$C$17)</f>
        <v>0.26987179487179491</v>
      </c>
      <c r="K665" s="146">
        <f t="shared" si="97"/>
        <v>20.121181749871798</v>
      </c>
      <c r="L665" s="103">
        <f>+K665/Tiempos!$B$11</f>
        <v>4.3741699456243038E-2</v>
      </c>
      <c r="M665" s="262">
        <f>+K665/Tiempos!$B$12</f>
        <v>2.1870849728121519E-2</v>
      </c>
      <c r="N665" s="243"/>
      <c r="O665" s="243"/>
      <c r="P665" s="243"/>
      <c r="Q665" s="243"/>
    </row>
    <row r="666" spans="1:17" x14ac:dyDescent="0.35">
      <c r="A666" s="464"/>
      <c r="B666" s="464">
        <v>2</v>
      </c>
      <c r="C666" s="465">
        <v>1</v>
      </c>
      <c r="D666" s="465" t="s">
        <v>327</v>
      </c>
      <c r="E666" s="99" t="s">
        <v>904</v>
      </c>
      <c r="F666" s="81" t="str">
        <f>+Volumenes!D38</f>
        <v>CHA_SANT_RECH</v>
      </c>
      <c r="G666" s="143">
        <f>VLOOKUP(F666,Volumenes!$D$20:$F$222,3,FALSE)</f>
        <v>2.2367489451163896</v>
      </c>
      <c r="H666" s="97"/>
      <c r="I666" s="98">
        <f>15/60</f>
        <v>0.25</v>
      </c>
      <c r="J666" s="110">
        <f>+I666*(1+Tiempos!$C$17)</f>
        <v>0.263125</v>
      </c>
      <c r="K666" s="123">
        <f t="shared" si="97"/>
        <v>0.58854456618374995</v>
      </c>
      <c r="L666" s="98">
        <f>+K666/Tiempos!$B$11</f>
        <v>1.2794447090951086E-3</v>
      </c>
      <c r="M666" s="261">
        <f>+K666/Tiempos!$B$12</f>
        <v>6.397223545475543E-4</v>
      </c>
      <c r="N666" s="238"/>
      <c r="O666" s="238"/>
      <c r="P666" s="238"/>
      <c r="Q666" s="238"/>
    </row>
    <row r="667" spans="1:17" x14ac:dyDescent="0.35">
      <c r="A667" s="462"/>
      <c r="B667" s="462">
        <v>2</v>
      </c>
      <c r="C667" s="463">
        <v>1</v>
      </c>
      <c r="D667" s="463" t="s">
        <v>327</v>
      </c>
      <c r="E667" s="101" t="s">
        <v>901</v>
      </c>
      <c r="F667" s="92" t="str">
        <f>+F666</f>
        <v>CHA_SANT_RECH</v>
      </c>
      <c r="G667" s="144">
        <f>VLOOKUP(F667,Volumenes!$D$20:$F$222,3,FALSE)</f>
        <v>2.2367489451163896</v>
      </c>
      <c r="H667" s="102">
        <v>30</v>
      </c>
      <c r="I667" s="103">
        <f>+H667/Tiempos!$B$29/60</f>
        <v>0.25641025641025644</v>
      </c>
      <c r="J667" s="111">
        <f>+I667*(1+Tiempos!$C$17)</f>
        <v>0.26987179487179491</v>
      </c>
      <c r="K667" s="146">
        <f t="shared" si="97"/>
        <v>0.60363545249615391</v>
      </c>
      <c r="L667" s="103">
        <f>+K667/Tiempos!$B$11</f>
        <v>1.3122509836872912E-3</v>
      </c>
      <c r="M667" s="262">
        <f>+K667/Tiempos!$B$12</f>
        <v>6.5612549184364559E-4</v>
      </c>
      <c r="N667" s="243"/>
      <c r="O667" s="243"/>
      <c r="P667" s="243"/>
      <c r="Q667" s="243"/>
    </row>
    <row r="668" spans="1:17" x14ac:dyDescent="0.35">
      <c r="A668" s="464"/>
      <c r="B668" s="464">
        <v>2</v>
      </c>
      <c r="C668" s="465">
        <v>1</v>
      </c>
      <c r="D668" s="465" t="s">
        <v>327</v>
      </c>
      <c r="E668" s="99" t="s">
        <v>902</v>
      </c>
      <c r="F668" s="81" t="str">
        <f>+F667</f>
        <v>CHA_SANT_RECH</v>
      </c>
      <c r="G668" s="143">
        <f>VLOOKUP(F668,Volumenes!$D$20:$F$222,3,FALSE)</f>
        <v>2.2367489451163896</v>
      </c>
      <c r="H668" s="97"/>
      <c r="I668" s="98">
        <f>15/60</f>
        <v>0.25</v>
      </c>
      <c r="J668" s="110">
        <f>+I668*(1+Tiempos!$C$17)</f>
        <v>0.263125</v>
      </c>
      <c r="K668" s="123">
        <f t="shared" si="97"/>
        <v>0.58854456618374995</v>
      </c>
      <c r="L668" s="98">
        <f>+K668/Tiempos!$B$11</f>
        <v>1.2794447090951086E-3</v>
      </c>
      <c r="M668" s="261">
        <f>+K668/Tiempos!$B$12</f>
        <v>6.397223545475543E-4</v>
      </c>
      <c r="N668" s="238"/>
      <c r="O668" s="238"/>
      <c r="P668" s="238"/>
      <c r="Q668" s="238"/>
    </row>
    <row r="669" spans="1:17" x14ac:dyDescent="0.35">
      <c r="A669" s="464"/>
      <c r="B669" s="464">
        <v>2</v>
      </c>
      <c r="C669" s="465">
        <v>1</v>
      </c>
      <c r="D669" s="465" t="s">
        <v>327</v>
      </c>
      <c r="E669" s="99" t="s">
        <v>903</v>
      </c>
      <c r="F669" s="81" t="str">
        <f>+F668</f>
        <v>CHA_SANT_RECH</v>
      </c>
      <c r="G669" s="143">
        <f>VLOOKUP(F669,Volumenes!$D$20:$F$222,3,FALSE)</f>
        <v>2.2367489451163896</v>
      </c>
      <c r="H669" s="97"/>
      <c r="I669" s="98">
        <f>15/60</f>
        <v>0.25</v>
      </c>
      <c r="J669" s="110">
        <f>+I669*(1+Tiempos!$C$17)</f>
        <v>0.263125</v>
      </c>
      <c r="K669" s="123">
        <f t="shared" si="97"/>
        <v>0.58854456618374995</v>
      </c>
      <c r="L669" s="98">
        <f>+K669/Tiempos!$B$11</f>
        <v>1.2794447090951086E-3</v>
      </c>
      <c r="M669" s="261">
        <f>+K669/Tiempos!$B$12</f>
        <v>6.397223545475543E-4</v>
      </c>
      <c r="N669" s="238"/>
      <c r="O669" s="238"/>
      <c r="P669" s="238"/>
      <c r="Q669" s="238"/>
    </row>
    <row r="670" spans="1:17" x14ac:dyDescent="0.35">
      <c r="A670" s="462"/>
      <c r="B670" s="462">
        <v>2</v>
      </c>
      <c r="C670" s="463">
        <v>1</v>
      </c>
      <c r="D670" s="463" t="s">
        <v>327</v>
      </c>
      <c r="E670" s="101" t="s">
        <v>737</v>
      </c>
      <c r="F670" s="92" t="str">
        <f>+F669</f>
        <v>CHA_SANT_RECH</v>
      </c>
      <c r="G670" s="144">
        <f>VLOOKUP(F670,Volumenes!$D$20:$F$222,3,FALSE)</f>
        <v>2.2367489451163896</v>
      </c>
      <c r="H670" s="102">
        <v>10</v>
      </c>
      <c r="I670" s="103">
        <f>+H670/Tiempos!$B$29/60</f>
        <v>8.5470085470085472E-2</v>
      </c>
      <c r="J670" s="111">
        <f>+I670*(1+Tiempos!$C$17)</f>
        <v>8.9957264957264957E-2</v>
      </c>
      <c r="K670" s="146">
        <f t="shared" si="97"/>
        <v>0.20121181749871794</v>
      </c>
      <c r="L670" s="103">
        <f>+K670/Tiempos!$B$11</f>
        <v>4.3741699456243034E-4</v>
      </c>
      <c r="M670" s="262">
        <f>+K670/Tiempos!$B$12</f>
        <v>2.1870849728121517E-4</v>
      </c>
      <c r="N670" s="243"/>
      <c r="O670" s="243"/>
      <c r="P670" s="243"/>
      <c r="Q670" s="243"/>
    </row>
    <row r="671" spans="1:17" x14ac:dyDescent="0.35">
      <c r="A671" s="464"/>
      <c r="B671" s="464">
        <v>2</v>
      </c>
      <c r="C671" s="465">
        <v>1</v>
      </c>
      <c r="D671" s="465" t="s">
        <v>327</v>
      </c>
      <c r="E671" s="99" t="s">
        <v>905</v>
      </c>
      <c r="F671" s="81" t="str">
        <f>+F670</f>
        <v>CHA_SANT_RECH</v>
      </c>
      <c r="G671" s="143">
        <f>VLOOKUP(F671,Volumenes!$D$20:$F$222,3,FALSE)</f>
        <v>2.2367489451163896</v>
      </c>
      <c r="H671" s="97"/>
      <c r="I671" s="98">
        <f>25/60</f>
        <v>0.41666666666666669</v>
      </c>
      <c r="J671" s="110">
        <f>+I671*(1+Tiempos!$C$17)</f>
        <v>0.43854166666666666</v>
      </c>
      <c r="K671" s="123">
        <f t="shared" si="97"/>
        <v>0.98090761030624996</v>
      </c>
      <c r="L671" s="98">
        <f>+K671/Tiempos!$B$11</f>
        <v>2.1324078484918478E-3</v>
      </c>
      <c r="M671" s="261">
        <f>+K671/Tiempos!$B$12</f>
        <v>1.0662039242459239E-3</v>
      </c>
      <c r="N671" s="238"/>
      <c r="O671" s="238"/>
      <c r="P671" s="238"/>
      <c r="Q671" s="238"/>
    </row>
    <row r="672" spans="1:17" ht="13.9" x14ac:dyDescent="0.4">
      <c r="A672" s="298"/>
      <c r="B672" s="298"/>
      <c r="C672" s="297"/>
      <c r="D672" s="297"/>
      <c r="E672" s="299"/>
      <c r="G672" s="153"/>
      <c r="K672" s="82"/>
      <c r="L672" s="86">
        <f>SUM(L661:L671)</f>
        <v>0.2316779111699912</v>
      </c>
      <c r="M672" s="86">
        <f>SUM(M661:M671)</f>
        <v>0.1158389555849956</v>
      </c>
      <c r="N672" s="86">
        <f>SUM(N661:N665)</f>
        <v>0</v>
      </c>
      <c r="O672" s="86">
        <f>SUM(O661:O665)</f>
        <v>0</v>
      </c>
      <c r="P672" s="86">
        <f>SUM(P661:P665)</f>
        <v>0</v>
      </c>
      <c r="Q672" s="86">
        <f>SUM(Q661:Q665)</f>
        <v>0</v>
      </c>
    </row>
    <row r="673" spans="1:17" ht="13.9" x14ac:dyDescent="0.4">
      <c r="A673" s="461"/>
      <c r="B673" s="75"/>
      <c r="E673" s="104"/>
      <c r="F673" s="75"/>
      <c r="G673" s="108"/>
      <c r="H673" s="105"/>
      <c r="I673" s="106"/>
      <c r="J673" s="107"/>
      <c r="K673" s="109"/>
      <c r="L673" s="109"/>
      <c r="M673" s="109"/>
      <c r="N673" s="249"/>
      <c r="O673" s="249"/>
      <c r="P673" s="249"/>
      <c r="Q673" s="249"/>
    </row>
    <row r="674" spans="1:17" ht="13.15" x14ac:dyDescent="0.4">
      <c r="A674" s="296" t="s">
        <v>910</v>
      </c>
      <c r="B674" s="296"/>
      <c r="C674" s="138"/>
      <c r="D674" s="138"/>
      <c r="E674" s="120"/>
      <c r="F674" s="75"/>
      <c r="G674" s="152"/>
      <c r="H674" s="177"/>
      <c r="I674" s="109"/>
      <c r="J674" s="107"/>
      <c r="K674" s="162"/>
      <c r="L674" s="109"/>
      <c r="M674" s="45"/>
      <c r="N674" s="45"/>
      <c r="O674" s="45"/>
      <c r="P674" s="45"/>
      <c r="Q674" s="45"/>
    </row>
    <row r="675" spans="1:17" s="70" customFormat="1" x14ac:dyDescent="0.35">
      <c r="A675" s="464"/>
      <c r="B675" s="464">
        <v>2</v>
      </c>
      <c r="C675" s="465">
        <v>1</v>
      </c>
      <c r="D675" s="465" t="s">
        <v>327</v>
      </c>
      <c r="E675" s="113" t="s">
        <v>911</v>
      </c>
      <c r="F675" s="478" t="str">
        <f>+Volumenes!D205</f>
        <v>ARM_ALM</v>
      </c>
      <c r="G675" s="180">
        <f>VLOOKUP(F675,Volumenes!$D$20:$F$222,3,FALSE)</f>
        <v>1</v>
      </c>
      <c r="H675" s="97"/>
      <c r="I675" s="98">
        <f>15/60</f>
        <v>0.25</v>
      </c>
      <c r="J675" s="110">
        <f>+I675*(1+Tiempos!$C$17)</f>
        <v>0.263125</v>
      </c>
      <c r="K675" s="123">
        <f t="shared" ref="K675:K678" si="98">+J675*G675</f>
        <v>0.263125</v>
      </c>
      <c r="L675" s="98">
        <f>+K675/Tiempos!$B$11</f>
        <v>5.7201086956521743E-4</v>
      </c>
      <c r="M675" s="261">
        <f>+K675/Tiempos!$B$12</f>
        <v>2.8600543478260872E-4</v>
      </c>
      <c r="N675" s="236"/>
      <c r="O675" s="236"/>
      <c r="P675" s="236"/>
      <c r="Q675" s="236"/>
    </row>
    <row r="676" spans="1:17" s="70" customFormat="1" x14ac:dyDescent="0.35">
      <c r="A676" s="462"/>
      <c r="B676" s="462">
        <v>2</v>
      </c>
      <c r="C676" s="463">
        <v>1</v>
      </c>
      <c r="D676" s="463" t="s">
        <v>327</v>
      </c>
      <c r="E676" s="112" t="s">
        <v>912</v>
      </c>
      <c r="F676" s="477" t="str">
        <f>+F675</f>
        <v>ARM_ALM</v>
      </c>
      <c r="G676" s="155">
        <f>VLOOKUP(F676,Volumenes!$D$20:$F$222,3,FALSE)</f>
        <v>1</v>
      </c>
      <c r="H676" s="155">
        <v>40</v>
      </c>
      <c r="I676" s="103">
        <f>+H676/Tiempos!B29/60</f>
        <v>0.34188034188034189</v>
      </c>
      <c r="J676" s="111">
        <f>+I676*(1+Tiempos!$C$17)</f>
        <v>0.35982905982905983</v>
      </c>
      <c r="K676" s="146">
        <f t="shared" si="98"/>
        <v>0.35982905982905983</v>
      </c>
      <c r="L676" s="103">
        <f>+K676/Tiempos!$B$11</f>
        <v>7.8223708658491271E-4</v>
      </c>
      <c r="M676" s="262">
        <f>+K676/Tiempos!$B$12</f>
        <v>3.9111854329245636E-4</v>
      </c>
      <c r="N676" s="237"/>
      <c r="O676" s="237"/>
      <c r="P676" s="237"/>
      <c r="Q676" s="237"/>
    </row>
    <row r="677" spans="1:17" s="70" customFormat="1" x14ac:dyDescent="0.35">
      <c r="A677" s="464"/>
      <c r="B677" s="464">
        <v>2</v>
      </c>
      <c r="C677" s="465">
        <v>1</v>
      </c>
      <c r="D677" s="465" t="s">
        <v>327</v>
      </c>
      <c r="E677" s="113" t="s">
        <v>913</v>
      </c>
      <c r="F677" s="478" t="str">
        <f>+F676</f>
        <v>ARM_ALM</v>
      </c>
      <c r="G677" s="180">
        <f>VLOOKUP(F677,Volumenes!$D$20:$F$222,3,FALSE)</f>
        <v>1</v>
      </c>
      <c r="H677" s="97"/>
      <c r="I677" s="98">
        <f>20/60</f>
        <v>0.33333333333333331</v>
      </c>
      <c r="J677" s="110">
        <f>+I677*(1+Tiempos!$C$17)</f>
        <v>0.35083333333333333</v>
      </c>
      <c r="K677" s="123">
        <f t="shared" si="98"/>
        <v>0.35083333333333333</v>
      </c>
      <c r="L677" s="98">
        <f>+K677/Tiempos!$B$11</f>
        <v>7.6268115942028987E-4</v>
      </c>
      <c r="M677" s="261">
        <f>+K677/Tiempos!$B$12</f>
        <v>3.8134057971014494E-4</v>
      </c>
      <c r="N677" s="236"/>
      <c r="O677" s="236"/>
      <c r="P677" s="236"/>
      <c r="Q677" s="236"/>
    </row>
    <row r="678" spans="1:17" x14ac:dyDescent="0.35">
      <c r="A678" s="462"/>
      <c r="B678" s="462">
        <v>2</v>
      </c>
      <c r="C678" s="463">
        <v>1</v>
      </c>
      <c r="D678" s="463" t="s">
        <v>46</v>
      </c>
      <c r="E678" s="112" t="s">
        <v>914</v>
      </c>
      <c r="F678" s="393" t="str">
        <f>+F677</f>
        <v>ARM_ALM</v>
      </c>
      <c r="G678" s="155">
        <f>VLOOKUP(F678,Volumenes!$D$20:$F$222,3,FALSE)</f>
        <v>1</v>
      </c>
      <c r="H678" s="102">
        <v>40</v>
      </c>
      <c r="I678" s="103">
        <f>+H678/Tiempos!B29/60</f>
        <v>0.34188034188034189</v>
      </c>
      <c r="J678" s="111">
        <f>+I678*(1+Tiempos!$C$17)</f>
        <v>0.35982905982905983</v>
      </c>
      <c r="K678" s="146">
        <f t="shared" si="98"/>
        <v>0.35982905982905983</v>
      </c>
      <c r="L678" s="103">
        <f>+K678/Tiempos!$B$11</f>
        <v>7.8223708658491271E-4</v>
      </c>
      <c r="M678" s="262">
        <f>+K678/Tiempos!$B$12</f>
        <v>3.9111854329245636E-4</v>
      </c>
      <c r="N678" s="237"/>
      <c r="O678" s="237"/>
      <c r="P678" s="237"/>
      <c r="Q678" s="237"/>
    </row>
    <row r="679" spans="1:17" x14ac:dyDescent="0.35">
      <c r="A679" s="301"/>
      <c r="B679" s="301"/>
      <c r="C679" s="297"/>
      <c r="D679" s="297"/>
      <c r="E679" s="300"/>
      <c r="F679" s="75"/>
      <c r="G679" s="152"/>
      <c r="H679" s="105"/>
      <c r="I679" s="109"/>
      <c r="J679" s="107"/>
      <c r="K679" s="162"/>
      <c r="L679" s="98">
        <f>SUM(L675:L678)</f>
        <v>2.8991662021553327E-3</v>
      </c>
      <c r="M679" s="98">
        <f>SUM(M675:M678)</f>
        <v>1.4495831010776664E-3</v>
      </c>
      <c r="N679" s="295"/>
      <c r="O679" s="295"/>
      <c r="P679" s="295"/>
      <c r="Q679" s="295"/>
    </row>
    <row r="680" spans="1:17" ht="13.9" x14ac:dyDescent="0.4">
      <c r="A680" s="461"/>
      <c r="B680" s="75"/>
      <c r="E680" s="104"/>
      <c r="F680" s="75"/>
      <c r="G680" s="108"/>
      <c r="H680" s="105"/>
      <c r="I680" s="106"/>
      <c r="J680" s="107"/>
      <c r="K680" s="109"/>
      <c r="L680" s="109"/>
      <c r="M680" s="109"/>
      <c r="N680" s="249"/>
      <c r="O680" s="249"/>
      <c r="P680" s="249"/>
      <c r="Q680" s="249"/>
    </row>
    <row r="681" spans="1:17" ht="13.15" x14ac:dyDescent="0.4">
      <c r="A681" s="84" t="s">
        <v>923</v>
      </c>
      <c r="B681" s="84"/>
      <c r="C681" s="138"/>
      <c r="D681" s="138"/>
      <c r="E681" s="351"/>
      <c r="F681" s="75"/>
      <c r="G681" s="152"/>
      <c r="H681" s="105"/>
      <c r="I681" s="106"/>
      <c r="J681" s="107"/>
      <c r="K681" s="162"/>
      <c r="L681" s="109"/>
    </row>
    <row r="682" spans="1:17" x14ac:dyDescent="0.35">
      <c r="A682" s="464"/>
      <c r="B682" s="464">
        <v>2</v>
      </c>
      <c r="C682" s="465">
        <v>1</v>
      </c>
      <c r="D682" s="465" t="s">
        <v>327</v>
      </c>
      <c r="E682" s="99" t="s">
        <v>924</v>
      </c>
      <c r="F682" s="81" t="str">
        <f>+Volumenes!D92</f>
        <v>CHI_AUTO</v>
      </c>
      <c r="G682" s="143">
        <f>VLOOKUP(F682,Volumenes!$D$20:$F$222,3,FALSE)</f>
        <v>6.8</v>
      </c>
      <c r="H682" s="97"/>
      <c r="I682" s="98">
        <f>15/60</f>
        <v>0.25</v>
      </c>
      <c r="J682" s="110">
        <f>+I682*(1+Tiempos!$C$17)</f>
        <v>0.263125</v>
      </c>
      <c r="K682" s="123">
        <f>+J682*G682</f>
        <v>1.78925</v>
      </c>
      <c r="L682" s="98">
        <f>+K682/Tiempos!$B$11</f>
        <v>3.8896739130434782E-3</v>
      </c>
      <c r="M682" s="261">
        <f>+K682/Tiempos!$B$12</f>
        <v>1.9448369565217391E-3</v>
      </c>
      <c r="N682" s="238"/>
      <c r="O682" s="238"/>
      <c r="P682" s="238"/>
      <c r="Q682" s="238"/>
    </row>
    <row r="683" spans="1:17" x14ac:dyDescent="0.35">
      <c r="A683" s="464"/>
      <c r="B683" s="464">
        <v>2</v>
      </c>
      <c r="C683" s="465">
        <v>1</v>
      </c>
      <c r="D683" s="465" t="s">
        <v>327</v>
      </c>
      <c r="E683" s="99" t="s">
        <v>900</v>
      </c>
      <c r="F683" s="81" t="str">
        <f>+F682</f>
        <v>CHI_AUTO</v>
      </c>
      <c r="G683" s="143">
        <f>VLOOKUP(F683,Volumenes!$D$20:$F$222,3,FALSE)</f>
        <v>6.8</v>
      </c>
      <c r="H683" s="97"/>
      <c r="I683" s="98">
        <f>8/60</f>
        <v>0.13333333333333333</v>
      </c>
      <c r="J683" s="110">
        <f>+I683*(1+Tiempos!$C$17)</f>
        <v>0.14033333333333334</v>
      </c>
      <c r="K683" s="123">
        <f t="shared" ref="K683:K692" si="99">+J683*G683</f>
        <v>0.95426666666666671</v>
      </c>
      <c r="L683" s="98">
        <f>+K683/Tiempos!$B$11</f>
        <v>2.0744927536231884E-3</v>
      </c>
      <c r="M683" s="261">
        <f>+K683/Tiempos!$B$12</f>
        <v>1.0372463768115942E-3</v>
      </c>
      <c r="N683" s="238"/>
      <c r="O683" s="238"/>
      <c r="P683" s="238"/>
      <c r="Q683" s="238"/>
    </row>
    <row r="684" spans="1:17" x14ac:dyDescent="0.35">
      <c r="A684" s="462"/>
      <c r="B684" s="462">
        <v>2</v>
      </c>
      <c r="C684" s="463">
        <v>1</v>
      </c>
      <c r="D684" s="463" t="s">
        <v>327</v>
      </c>
      <c r="E684" s="101" t="s">
        <v>435</v>
      </c>
      <c r="F684" s="92" t="str">
        <f>+F682</f>
        <v>CHI_AUTO</v>
      </c>
      <c r="G684" s="144">
        <f>VLOOKUP(F684,Volumenes!$D$20:$F$222,3,FALSE)</f>
        <v>6.8</v>
      </c>
      <c r="H684" s="102">
        <v>35</v>
      </c>
      <c r="I684" s="103">
        <f>+H684/Tiempos!$B$29/60</f>
        <v>0.29914529914529914</v>
      </c>
      <c r="J684" s="111">
        <f>+I684*(1+Tiempos!$C$17)</f>
        <v>0.31485042735042734</v>
      </c>
      <c r="K684" s="146">
        <f t="shared" si="99"/>
        <v>2.1409829059829057</v>
      </c>
      <c r="L684" s="103">
        <f>+K684/Tiempos!$B$11</f>
        <v>4.6543106651802295E-3</v>
      </c>
      <c r="M684" s="262">
        <f>+K684/Tiempos!$B$12</f>
        <v>2.3271553325901148E-3</v>
      </c>
      <c r="N684" s="243"/>
      <c r="O684" s="243"/>
      <c r="P684" s="243"/>
      <c r="Q684" s="243"/>
    </row>
    <row r="685" spans="1:17" x14ac:dyDescent="0.35">
      <c r="A685" s="464"/>
      <c r="B685" s="464">
        <v>2</v>
      </c>
      <c r="C685" s="465">
        <v>1</v>
      </c>
      <c r="D685" s="465" t="s">
        <v>327</v>
      </c>
      <c r="E685" s="99" t="s">
        <v>169</v>
      </c>
      <c r="F685" s="81" t="str">
        <f>+F684</f>
        <v>CHI_AUTO</v>
      </c>
      <c r="G685" s="143">
        <f>VLOOKUP(F685,Volumenes!$D$20:$F$222,3,FALSE)</f>
        <v>6.8</v>
      </c>
      <c r="H685" s="97"/>
      <c r="I685" s="98">
        <f>30/60</f>
        <v>0.5</v>
      </c>
      <c r="J685" s="110">
        <f>+I685*(1+Tiempos!$C$17)</f>
        <v>0.52625</v>
      </c>
      <c r="K685" s="123">
        <f t="shared" si="99"/>
        <v>3.5785</v>
      </c>
      <c r="L685" s="98">
        <f>+K685/Tiempos!$B$11</f>
        <v>7.7793478260869565E-3</v>
      </c>
      <c r="M685" s="261">
        <f>+K685/Tiempos!$B$12</f>
        <v>3.8896739130434782E-3</v>
      </c>
      <c r="N685" s="238"/>
      <c r="O685" s="238"/>
      <c r="P685" s="238"/>
      <c r="Q685" s="238"/>
    </row>
    <row r="686" spans="1:17" x14ac:dyDescent="0.35">
      <c r="A686" s="462"/>
      <c r="B686" s="462">
        <v>2</v>
      </c>
      <c r="C686" s="463">
        <v>1</v>
      </c>
      <c r="D686" s="463" t="s">
        <v>327</v>
      </c>
      <c r="E686" s="101" t="s">
        <v>436</v>
      </c>
      <c r="F686" s="92" t="str">
        <f>+F685</f>
        <v>CHI_AUTO</v>
      </c>
      <c r="G686" s="144">
        <f>VLOOKUP(F686,Volumenes!$D$20:$F$222,3,FALSE)</f>
        <v>6.8</v>
      </c>
      <c r="H686" s="102">
        <v>35</v>
      </c>
      <c r="I686" s="103">
        <f>+H686/Tiempos!$B$29/60</f>
        <v>0.29914529914529914</v>
      </c>
      <c r="J686" s="111">
        <f>+I686*(1+Tiempos!$C$17)</f>
        <v>0.31485042735042734</v>
      </c>
      <c r="K686" s="146">
        <f t="shared" si="99"/>
        <v>2.1409829059829057</v>
      </c>
      <c r="L686" s="103">
        <f>+K686/Tiempos!$B$11</f>
        <v>4.6543106651802295E-3</v>
      </c>
      <c r="M686" s="262">
        <f>+K686/Tiempos!$B$12</f>
        <v>2.3271553325901148E-3</v>
      </c>
      <c r="N686" s="243"/>
      <c r="O686" s="243"/>
      <c r="P686" s="243"/>
      <c r="Q686" s="243"/>
    </row>
    <row r="687" spans="1:17" x14ac:dyDescent="0.35">
      <c r="A687" s="464"/>
      <c r="B687" s="464">
        <v>2</v>
      </c>
      <c r="C687" s="465">
        <v>1</v>
      </c>
      <c r="D687" s="465" t="s">
        <v>327</v>
      </c>
      <c r="E687" s="99" t="s">
        <v>904</v>
      </c>
      <c r="F687" s="81" t="str">
        <f>+Volumenes!D93</f>
        <v>CHI_AUTO_RECH</v>
      </c>
      <c r="G687" s="143">
        <f>VLOOKUP(F687,Volumenes!$D$20:$F$222,3,FALSE)</f>
        <v>0.20399999999999999</v>
      </c>
      <c r="H687" s="97"/>
      <c r="I687" s="98">
        <f>15/60</f>
        <v>0.25</v>
      </c>
      <c r="J687" s="110">
        <f>+I687*(1+Tiempos!$C$17)</f>
        <v>0.263125</v>
      </c>
      <c r="K687" s="123">
        <f t="shared" si="99"/>
        <v>5.3677499999999996E-2</v>
      </c>
      <c r="L687" s="98">
        <f>+K687/Tiempos!$B$11</f>
        <v>1.1669021739130434E-4</v>
      </c>
      <c r="M687" s="261">
        <f>+K687/Tiempos!$B$12</f>
        <v>5.8345108695652168E-5</v>
      </c>
      <c r="N687" s="238"/>
      <c r="O687" s="238"/>
      <c r="P687" s="238"/>
      <c r="Q687" s="238"/>
    </row>
    <row r="688" spans="1:17" x14ac:dyDescent="0.35">
      <c r="A688" s="462"/>
      <c r="B688" s="462">
        <v>2</v>
      </c>
      <c r="C688" s="463">
        <v>1</v>
      </c>
      <c r="D688" s="463" t="s">
        <v>327</v>
      </c>
      <c r="E688" s="101" t="s">
        <v>901</v>
      </c>
      <c r="F688" s="92" t="str">
        <f>+F687</f>
        <v>CHI_AUTO_RECH</v>
      </c>
      <c r="G688" s="144">
        <f>VLOOKUP(F688,Volumenes!$D$20:$F$222,3,FALSE)</f>
        <v>0.20399999999999999</v>
      </c>
      <c r="H688" s="102">
        <v>35</v>
      </c>
      <c r="I688" s="103">
        <f>+H688/Tiempos!$B$29/60</f>
        <v>0.29914529914529914</v>
      </c>
      <c r="J688" s="111">
        <f>+I688*(1+Tiempos!$C$17)</f>
        <v>0.31485042735042734</v>
      </c>
      <c r="K688" s="146">
        <f t="shared" si="99"/>
        <v>6.4229487179487177E-2</v>
      </c>
      <c r="L688" s="103">
        <f>+K688/Tiempos!$B$11</f>
        <v>1.396293199554069E-4</v>
      </c>
      <c r="M688" s="262">
        <f>+K688/Tiempos!$B$12</f>
        <v>6.9814659977703448E-5</v>
      </c>
      <c r="N688" s="243"/>
      <c r="O688" s="243"/>
      <c r="P688" s="243"/>
      <c r="Q688" s="243"/>
    </row>
    <row r="689" spans="1:17" x14ac:dyDescent="0.35">
      <c r="A689" s="464"/>
      <c r="B689" s="464">
        <v>2</v>
      </c>
      <c r="C689" s="465">
        <v>1</v>
      </c>
      <c r="D689" s="465" t="s">
        <v>327</v>
      </c>
      <c r="E689" s="99" t="s">
        <v>902</v>
      </c>
      <c r="F689" s="81" t="str">
        <f>+F688</f>
        <v>CHI_AUTO_RECH</v>
      </c>
      <c r="G689" s="143">
        <f>VLOOKUP(F689,Volumenes!$D$20:$F$222,3,FALSE)</f>
        <v>0.20399999999999999</v>
      </c>
      <c r="H689" s="97"/>
      <c r="I689" s="98">
        <f>15/60</f>
        <v>0.25</v>
      </c>
      <c r="J689" s="110">
        <f>+I689*(1+Tiempos!$C$17)</f>
        <v>0.263125</v>
      </c>
      <c r="K689" s="123">
        <f t="shared" si="99"/>
        <v>5.3677499999999996E-2</v>
      </c>
      <c r="L689" s="98">
        <f>+K689/Tiempos!$B$11</f>
        <v>1.1669021739130434E-4</v>
      </c>
      <c r="M689" s="261">
        <f>+K689/Tiempos!$B$12</f>
        <v>5.8345108695652168E-5</v>
      </c>
      <c r="N689" s="238"/>
      <c r="O689" s="238"/>
      <c r="P689" s="238"/>
      <c r="Q689" s="238"/>
    </row>
    <row r="690" spans="1:17" x14ac:dyDescent="0.35">
      <c r="A690" s="464"/>
      <c r="B690" s="464">
        <v>2</v>
      </c>
      <c r="C690" s="465">
        <v>1</v>
      </c>
      <c r="D690" s="465" t="s">
        <v>327</v>
      </c>
      <c r="E690" s="99" t="s">
        <v>903</v>
      </c>
      <c r="F690" s="81" t="str">
        <f>+F689</f>
        <v>CHI_AUTO_RECH</v>
      </c>
      <c r="G690" s="143">
        <f>VLOOKUP(F690,Volumenes!$D$20:$F$222,3,FALSE)</f>
        <v>0.20399999999999999</v>
      </c>
      <c r="H690" s="97"/>
      <c r="I690" s="98">
        <f>15/60</f>
        <v>0.25</v>
      </c>
      <c r="J690" s="110">
        <f>+I690*(1+Tiempos!$C$17)</f>
        <v>0.263125</v>
      </c>
      <c r="K690" s="123">
        <f t="shared" si="99"/>
        <v>5.3677499999999996E-2</v>
      </c>
      <c r="L690" s="98">
        <f>+K690/Tiempos!$B$11</f>
        <v>1.1669021739130434E-4</v>
      </c>
      <c r="M690" s="261">
        <f>+K690/Tiempos!$B$12</f>
        <v>5.8345108695652168E-5</v>
      </c>
      <c r="N690" s="238"/>
      <c r="O690" s="238"/>
      <c r="P690" s="238"/>
      <c r="Q690" s="238"/>
    </row>
    <row r="691" spans="1:17" x14ac:dyDescent="0.35">
      <c r="A691" s="462"/>
      <c r="B691" s="462">
        <v>2</v>
      </c>
      <c r="C691" s="463">
        <v>1</v>
      </c>
      <c r="D691" s="463" t="s">
        <v>327</v>
      </c>
      <c r="E691" s="101" t="s">
        <v>737</v>
      </c>
      <c r="F691" s="92" t="str">
        <f>+F690</f>
        <v>CHI_AUTO_RECH</v>
      </c>
      <c r="G691" s="144">
        <f>VLOOKUP(F691,Volumenes!$D$20:$F$222,3,FALSE)</f>
        <v>0.20399999999999999</v>
      </c>
      <c r="H691" s="102">
        <v>10</v>
      </c>
      <c r="I691" s="103">
        <f>+H691/Tiempos!$B$29/60</f>
        <v>8.5470085470085472E-2</v>
      </c>
      <c r="J691" s="111">
        <f>+I691*(1+Tiempos!$C$17)</f>
        <v>8.9957264957264957E-2</v>
      </c>
      <c r="K691" s="146">
        <f t="shared" si="99"/>
        <v>1.8351282051282052E-2</v>
      </c>
      <c r="L691" s="103">
        <f>+K691/Tiempos!$B$11</f>
        <v>3.9894091415830548E-5</v>
      </c>
      <c r="M691" s="262">
        <f>+K691/Tiempos!$B$12</f>
        <v>1.9947045707915274E-5</v>
      </c>
      <c r="N691" s="243"/>
      <c r="O691" s="243"/>
      <c r="P691" s="243"/>
      <c r="Q691" s="243"/>
    </row>
    <row r="692" spans="1:17" x14ac:dyDescent="0.35">
      <c r="A692" s="464"/>
      <c r="B692" s="464">
        <v>2</v>
      </c>
      <c r="C692" s="465">
        <v>1</v>
      </c>
      <c r="D692" s="465" t="s">
        <v>327</v>
      </c>
      <c r="E692" s="99" t="s">
        <v>905</v>
      </c>
      <c r="F692" s="81" t="str">
        <f>+F691</f>
        <v>CHI_AUTO_RECH</v>
      </c>
      <c r="G692" s="143">
        <f>VLOOKUP(F692,Volumenes!$D$20:$F$222,3,FALSE)</f>
        <v>0.20399999999999999</v>
      </c>
      <c r="H692" s="97"/>
      <c r="I692" s="98">
        <f>25/60</f>
        <v>0.41666666666666669</v>
      </c>
      <c r="J692" s="110">
        <f>+I692*(1+Tiempos!$C$17)</f>
        <v>0.43854166666666666</v>
      </c>
      <c r="K692" s="123">
        <f t="shared" si="99"/>
        <v>8.94625E-2</v>
      </c>
      <c r="L692" s="98">
        <f>+K692/Tiempos!$B$11</f>
        <v>1.944836956521739E-4</v>
      </c>
      <c r="M692" s="261">
        <f>+K692/Tiempos!$B$12</f>
        <v>9.7241847826086951E-5</v>
      </c>
      <c r="N692" s="238"/>
      <c r="O692" s="238"/>
      <c r="P692" s="238"/>
      <c r="Q692" s="238"/>
    </row>
    <row r="693" spans="1:17" ht="13.9" x14ac:dyDescent="0.4">
      <c r="A693" s="298"/>
      <c r="B693" s="298"/>
      <c r="C693" s="297"/>
      <c r="D693" s="297"/>
      <c r="E693" s="299"/>
      <c r="G693" s="153"/>
      <c r="K693" s="82"/>
      <c r="L693" s="86">
        <f>SUM(L682:L692)</f>
        <v>2.3776213582311412E-2</v>
      </c>
      <c r="M693" s="86">
        <f>SUM(M682:M692)</f>
        <v>1.1888106791155706E-2</v>
      </c>
      <c r="N693" s="86">
        <f>SUM(N682:N686)</f>
        <v>0</v>
      </c>
      <c r="O693" s="86">
        <f>SUM(O682:O686)</f>
        <v>0</v>
      </c>
      <c r="P693" s="86">
        <f>SUM(P682:P686)</f>
        <v>0</v>
      </c>
      <c r="Q693" s="86">
        <f>SUM(Q682:Q686)</f>
        <v>0</v>
      </c>
    </row>
    <row r="694" spans="1:17" ht="13.9" x14ac:dyDescent="0.4">
      <c r="A694" s="298"/>
      <c r="B694" s="298"/>
      <c r="C694" s="297"/>
      <c r="D694" s="297"/>
      <c r="E694" s="299"/>
      <c r="G694" s="153"/>
      <c r="K694" s="82"/>
      <c r="L694" s="486"/>
      <c r="M694" s="486"/>
      <c r="N694" s="486"/>
      <c r="O694" s="486"/>
      <c r="P694" s="486"/>
      <c r="Q694" s="486"/>
    </row>
    <row r="695" spans="1:17" ht="15" x14ac:dyDescent="0.4">
      <c r="A695" s="493" t="s">
        <v>932</v>
      </c>
      <c r="B695" s="494"/>
      <c r="C695" s="375"/>
      <c r="D695" s="375"/>
      <c r="E695" s="495"/>
    </row>
    <row r="696" spans="1:17" ht="13.15" x14ac:dyDescent="0.4">
      <c r="A696" s="296" t="s">
        <v>894</v>
      </c>
      <c r="B696" s="179"/>
      <c r="E696" s="120"/>
      <c r="F696" s="75"/>
      <c r="G696" s="152"/>
      <c r="H696" s="177"/>
      <c r="I696" s="109"/>
      <c r="J696" s="107"/>
      <c r="K696" s="162"/>
      <c r="L696" s="109"/>
      <c r="M696" s="45"/>
      <c r="N696" s="45"/>
      <c r="O696" s="45"/>
      <c r="P696" s="45"/>
      <c r="Q696" s="45"/>
    </row>
    <row r="697" spans="1:17" s="70" customFormat="1" x14ac:dyDescent="0.35">
      <c r="A697" s="92"/>
      <c r="B697" s="92">
        <v>2</v>
      </c>
      <c r="C697" s="100">
        <v>1</v>
      </c>
      <c r="D697" s="100" t="s">
        <v>46</v>
      </c>
      <c r="E697" s="112" t="s">
        <v>447</v>
      </c>
      <c r="F697" s="100" t="str">
        <f>+Volumenes!D39</f>
        <v>CHA_SANT_2D_EST</v>
      </c>
      <c r="G697" s="144">
        <f>VLOOKUP(F697,Volumenes!$D$20:$F$222,3,FALSE)</f>
        <v>13.157346735978763</v>
      </c>
      <c r="H697" s="155">
        <v>10</v>
      </c>
      <c r="I697" s="103">
        <f>+(H697/Tiempos!$B$29)/60</f>
        <v>8.5470085470085472E-2</v>
      </c>
      <c r="J697" s="111">
        <f>+I697*(1+Tiempos!$C$17)</f>
        <v>8.9957264957264957E-2</v>
      </c>
      <c r="K697" s="146">
        <f>+J697*G697</f>
        <v>1.1835989264630469</v>
      </c>
      <c r="L697" s="103">
        <f>+K697/Tiempos!$B$11</f>
        <v>2.5730411444848844E-3</v>
      </c>
      <c r="M697" s="262">
        <f>+K697/Tiempos!$B$12</f>
        <v>1.2865205722424422E-3</v>
      </c>
      <c r="N697" s="234"/>
      <c r="O697" s="234"/>
      <c r="P697" s="234"/>
      <c r="Q697" s="234"/>
    </row>
    <row r="698" spans="1:17" s="70" customFormat="1" x14ac:dyDescent="0.35">
      <c r="A698" s="81"/>
      <c r="B698" s="81">
        <v>2</v>
      </c>
      <c r="C698" s="83">
        <v>1</v>
      </c>
      <c r="D698" s="83" t="s">
        <v>327</v>
      </c>
      <c r="E698" s="113" t="s">
        <v>79</v>
      </c>
      <c r="F698" s="83" t="str">
        <f>+F697</f>
        <v>CHA_SANT_2D_EST</v>
      </c>
      <c r="G698" s="143">
        <f>VLOOKUP(F698,Volumenes!$D$20:$F$222,3,FALSE)</f>
        <v>13.157346735978763</v>
      </c>
      <c r="H698" s="97"/>
      <c r="I698" s="98">
        <f>25/60</f>
        <v>0.41666666666666669</v>
      </c>
      <c r="J698" s="110">
        <f>+I698*(1+Tiempos!$C$17)</f>
        <v>0.43854166666666666</v>
      </c>
      <c r="K698" s="123">
        <f t="shared" ref="K698:K711" si="100">+J698*G698</f>
        <v>5.7700447665073531</v>
      </c>
      <c r="L698" s="98">
        <f>+K698/Tiempos!$B$11</f>
        <v>1.2543575579363812E-2</v>
      </c>
      <c r="M698" s="261">
        <f>+K698/Tiempos!$B$12</f>
        <v>6.2717877896819058E-3</v>
      </c>
      <c r="N698" s="236"/>
      <c r="O698" s="236"/>
      <c r="P698" s="236"/>
      <c r="Q698" s="236"/>
    </row>
    <row r="699" spans="1:17" s="70" customFormat="1" x14ac:dyDescent="0.35">
      <c r="A699" s="92"/>
      <c r="B699" s="92">
        <v>2</v>
      </c>
      <c r="C699" s="100">
        <v>1</v>
      </c>
      <c r="D699" s="100" t="s">
        <v>327</v>
      </c>
      <c r="E699" s="112" t="s">
        <v>451</v>
      </c>
      <c r="F699" s="100" t="str">
        <f>+F698</f>
        <v>CHA_SANT_2D_EST</v>
      </c>
      <c r="G699" s="144">
        <f>VLOOKUP(F699,Volumenes!$D$20:$F$222,3,FALSE)</f>
        <v>13.157346735978763</v>
      </c>
      <c r="H699" s="155">
        <v>10</v>
      </c>
      <c r="I699" s="103">
        <f>VLOOKUP(F699,Tiempos!$D$42:$F$111,3,FALSE)</f>
        <v>0.99145299145299148</v>
      </c>
      <c r="J699" s="111">
        <f>+I699*(1+Tiempos!$C$17)</f>
        <v>1.0435042735042734</v>
      </c>
      <c r="K699" s="146">
        <f t="shared" si="100"/>
        <v>13.729747546971343</v>
      </c>
      <c r="L699" s="103">
        <f>+K699/Tiempos!$B$11</f>
        <v>2.9847277276024656E-2</v>
      </c>
      <c r="M699" s="262">
        <f>+K699/Tiempos!$B$12</f>
        <v>1.4923638638012328E-2</v>
      </c>
      <c r="N699" s="237"/>
      <c r="O699" s="237"/>
      <c r="P699" s="237"/>
      <c r="Q699" s="237"/>
    </row>
    <row r="700" spans="1:17" s="70" customFormat="1" x14ac:dyDescent="0.35">
      <c r="A700" s="81"/>
      <c r="B700" s="81">
        <v>2</v>
      </c>
      <c r="C700" s="83">
        <v>1</v>
      </c>
      <c r="D700" s="83" t="s">
        <v>327</v>
      </c>
      <c r="E700" s="113" t="s">
        <v>448</v>
      </c>
      <c r="F700" s="83" t="str">
        <f>+F699</f>
        <v>CHA_SANT_2D_EST</v>
      </c>
      <c r="G700" s="143">
        <f>VLOOKUP(F700,Volumenes!$D$20:$F$222,3,FALSE)</f>
        <v>13.157346735978763</v>
      </c>
      <c r="H700" s="97"/>
      <c r="I700" s="98">
        <f>15/60</f>
        <v>0.25</v>
      </c>
      <c r="J700" s="110">
        <f>+I700*(1+Tiempos!$C$17)</f>
        <v>0.263125</v>
      </c>
      <c r="K700" s="123">
        <f t="shared" si="100"/>
        <v>3.4620268599044119</v>
      </c>
      <c r="L700" s="98">
        <f>+K700/Tiempos!$B$11</f>
        <v>7.5261453476182872E-3</v>
      </c>
      <c r="M700" s="261">
        <f>+K700/Tiempos!$B$12</f>
        <v>3.7630726738091436E-3</v>
      </c>
      <c r="N700" s="236"/>
      <c r="O700" s="236"/>
      <c r="P700" s="236"/>
      <c r="Q700" s="236"/>
    </row>
    <row r="701" spans="1:17" s="70" customFormat="1" x14ac:dyDescent="0.35">
      <c r="A701" s="81"/>
      <c r="B701" s="81">
        <v>2</v>
      </c>
      <c r="C701" s="83">
        <v>1</v>
      </c>
      <c r="D701" s="83" t="s">
        <v>46</v>
      </c>
      <c r="E701" s="113" t="s">
        <v>452</v>
      </c>
      <c r="F701" s="83" t="str">
        <f>+F700</f>
        <v>CHA_SANT_2D_EST</v>
      </c>
      <c r="G701" s="143">
        <f>VLOOKUP(F701,Volumenes!$D$20:$F$222,3,FALSE)</f>
        <v>13.157346735978763</v>
      </c>
      <c r="H701" s="97"/>
      <c r="I701" s="98">
        <f>5/60</f>
        <v>8.3333333333333329E-2</v>
      </c>
      <c r="J701" s="110">
        <f>+I701*(1+Tiempos!$C$17)</f>
        <v>8.7708333333333333E-2</v>
      </c>
      <c r="K701" s="123">
        <f t="shared" si="100"/>
        <v>1.1540089533014706</v>
      </c>
      <c r="L701" s="98">
        <f>+K701/Tiempos!$B$11</f>
        <v>2.5087151158727622E-3</v>
      </c>
      <c r="M701" s="261">
        <f>+K701/Tiempos!$B$12</f>
        <v>1.2543575579363811E-3</v>
      </c>
      <c r="N701" s="236"/>
      <c r="O701" s="236"/>
      <c r="P701" s="236"/>
      <c r="Q701" s="236"/>
    </row>
    <row r="702" spans="1:17" s="70" customFormat="1" x14ac:dyDescent="0.35">
      <c r="A702" s="81"/>
      <c r="B702" s="81">
        <v>2</v>
      </c>
      <c r="C702" s="83">
        <v>1</v>
      </c>
      <c r="D702" s="83" t="s">
        <v>46</v>
      </c>
      <c r="E702" s="113" t="s">
        <v>1087</v>
      </c>
      <c r="F702" s="83" t="str">
        <f>+Volumenes!D26</f>
        <v>CAMION CHAPA</v>
      </c>
      <c r="G702" s="143">
        <f>VLOOKUP(F702,Volumenes!$D$20:$F$222,3,FALSE)</f>
        <v>4</v>
      </c>
      <c r="H702" s="97"/>
      <c r="I702" s="98">
        <v>1</v>
      </c>
      <c r="J702" s="110">
        <f>+I702*(1+Tiempos!$C$17)</f>
        <v>1.0525</v>
      </c>
      <c r="K702" s="123">
        <f t="shared" si="100"/>
        <v>4.21</v>
      </c>
      <c r="L702" s="98">
        <f>+K702/Tiempos!$B$11</f>
        <v>9.1521739130434789E-3</v>
      </c>
      <c r="M702" s="261">
        <f>+K702/Tiempos!$B$12</f>
        <v>4.5760869565217395E-3</v>
      </c>
      <c r="N702" s="236"/>
      <c r="O702" s="236"/>
      <c r="P702" s="236"/>
      <c r="Q702" s="236"/>
    </row>
    <row r="703" spans="1:17" x14ac:dyDescent="0.35">
      <c r="A703" s="81"/>
      <c r="B703" s="81">
        <v>2</v>
      </c>
      <c r="C703" s="83">
        <v>1</v>
      </c>
      <c r="D703" s="83" t="s">
        <v>46</v>
      </c>
      <c r="E703" s="113" t="s">
        <v>1088</v>
      </c>
      <c r="F703" s="81" t="str">
        <f>+F701</f>
        <v>CHA_SANT_2D_EST</v>
      </c>
      <c r="G703" s="143">
        <f>VLOOKUP(F703,Volumenes!$D$20:$F$222,3,FALSE)</f>
        <v>13.157346735978763</v>
      </c>
      <c r="H703" s="97"/>
      <c r="I703" s="98">
        <f>8/60</f>
        <v>0.13333333333333333</v>
      </c>
      <c r="J703" s="110">
        <f>+I703*(1+Tiempos!$C$17)</f>
        <v>0.14033333333333334</v>
      </c>
      <c r="K703" s="123">
        <f t="shared" si="100"/>
        <v>1.8464143252823531</v>
      </c>
      <c r="L703" s="98">
        <f>+K703/Tiempos!$B$11</f>
        <v>4.0139441853964198E-3</v>
      </c>
      <c r="M703" s="261">
        <f>+K703/Tiempos!$B$12</f>
        <v>2.0069720926982099E-3</v>
      </c>
      <c r="N703" s="236"/>
      <c r="O703" s="236"/>
      <c r="P703" s="236"/>
      <c r="Q703" s="236"/>
    </row>
    <row r="704" spans="1:17" x14ac:dyDescent="0.35">
      <c r="A704" s="81"/>
      <c r="B704" s="81">
        <v>2</v>
      </c>
      <c r="C704" s="83">
        <v>1</v>
      </c>
      <c r="D704" s="83" t="s">
        <v>46</v>
      </c>
      <c r="E704" s="113" t="s">
        <v>456</v>
      </c>
      <c r="F704" s="81" t="str">
        <f>+F703</f>
        <v>CHA_SANT_2D_EST</v>
      </c>
      <c r="G704" s="143">
        <f>VLOOKUP(F704,Volumenes!$D$20:$F$222,3,FALSE)</f>
        <v>13.157346735978763</v>
      </c>
      <c r="H704" s="97"/>
      <c r="I704" s="98">
        <f>6/60</f>
        <v>0.1</v>
      </c>
      <c r="J704" s="110">
        <f>+I704*(1+Tiempos!$C$17)</f>
        <v>0.10525000000000001</v>
      </c>
      <c r="K704" s="123">
        <f t="shared" si="100"/>
        <v>1.384810743961765</v>
      </c>
      <c r="L704" s="98">
        <f>+K704/Tiempos!$B$11</f>
        <v>3.010458139047315E-3</v>
      </c>
      <c r="M704" s="261">
        <f>+K704/Tiempos!$B$12</f>
        <v>1.5052290695236575E-3</v>
      </c>
      <c r="N704" s="236"/>
      <c r="O704" s="236"/>
      <c r="P704" s="236"/>
      <c r="Q704" s="236"/>
    </row>
    <row r="705" spans="1:17" x14ac:dyDescent="0.35">
      <c r="A705" s="81"/>
      <c r="B705" s="81">
        <v>2</v>
      </c>
      <c r="C705" s="83">
        <v>1</v>
      </c>
      <c r="D705" s="83" t="s">
        <v>46</v>
      </c>
      <c r="E705" s="113" t="s">
        <v>182</v>
      </c>
      <c r="F705" s="81" t="str">
        <f>+F704</f>
        <v>CHA_SANT_2D_EST</v>
      </c>
      <c r="G705" s="143">
        <f>VLOOKUP(F705,Volumenes!$D$20:$F$222,3,FALSE)</f>
        <v>13.157346735978763</v>
      </c>
      <c r="H705" s="97"/>
      <c r="I705" s="98">
        <f>5/60</f>
        <v>8.3333333333333329E-2</v>
      </c>
      <c r="J705" s="110">
        <f>+I705*(1+Tiempos!$C$17)</f>
        <v>8.7708333333333333E-2</v>
      </c>
      <c r="K705" s="123">
        <f t="shared" si="100"/>
        <v>1.1540089533014706</v>
      </c>
      <c r="L705" s="98">
        <f>+K705/Tiempos!$B$11</f>
        <v>2.5087151158727622E-3</v>
      </c>
      <c r="M705" s="261">
        <f>+K705/Tiempos!$B$12</f>
        <v>1.2543575579363811E-3</v>
      </c>
      <c r="N705" s="236"/>
      <c r="O705" s="236"/>
      <c r="P705" s="236"/>
      <c r="Q705" s="236"/>
    </row>
    <row r="706" spans="1:17" x14ac:dyDescent="0.35">
      <c r="A706" s="81"/>
      <c r="B706" s="81">
        <v>2</v>
      </c>
      <c r="C706" s="83">
        <v>1</v>
      </c>
      <c r="D706" s="83" t="s">
        <v>46</v>
      </c>
      <c r="E706" s="113" t="s">
        <v>453</v>
      </c>
      <c r="F706" s="81" t="str">
        <f>+F705</f>
        <v>CHA_SANT_2D_EST</v>
      </c>
      <c r="G706" s="143">
        <f>VLOOKUP(F706,Volumenes!$D$20:$F$222,3,FALSE)</f>
        <v>13.157346735978763</v>
      </c>
      <c r="H706" s="97"/>
      <c r="I706" s="98">
        <f>15/60</f>
        <v>0.25</v>
      </c>
      <c r="J706" s="110">
        <f>+I706*(1+Tiempos!$C$17)</f>
        <v>0.263125</v>
      </c>
      <c r="K706" s="123">
        <f t="shared" si="100"/>
        <v>3.4620268599044119</v>
      </c>
      <c r="L706" s="98">
        <f>+K706/Tiempos!$B$11</f>
        <v>7.5261453476182872E-3</v>
      </c>
      <c r="M706" s="261">
        <f>+K706/Tiempos!$B$12</f>
        <v>3.7630726738091436E-3</v>
      </c>
      <c r="N706" s="236"/>
      <c r="O706" s="236"/>
      <c r="P706" s="236"/>
      <c r="Q706" s="236"/>
    </row>
    <row r="707" spans="1:17" x14ac:dyDescent="0.35">
      <c r="A707" s="92"/>
      <c r="B707" s="92">
        <v>2</v>
      </c>
      <c r="C707" s="100">
        <v>1</v>
      </c>
      <c r="D707" s="100" t="s">
        <v>46</v>
      </c>
      <c r="E707" s="112" t="s">
        <v>454</v>
      </c>
      <c r="F707" s="92" t="str">
        <f>+F706</f>
        <v>CHA_SANT_2D_EST</v>
      </c>
      <c r="G707" s="144">
        <f>VLOOKUP(F707,Volumenes!$D$20:$F$222,3,FALSE)</f>
        <v>13.157346735978763</v>
      </c>
      <c r="H707" s="102">
        <v>35</v>
      </c>
      <c r="I707" s="103">
        <f>+(H707/Tiempos!$B$29)/60</f>
        <v>0.29914529914529914</v>
      </c>
      <c r="J707" s="111">
        <f>+I707*(1+Tiempos!$C$17)</f>
        <v>0.31485042735042734</v>
      </c>
      <c r="K707" s="146">
        <f t="shared" si="100"/>
        <v>4.1425962426206642</v>
      </c>
      <c r="L707" s="103">
        <f>+K707/Tiempos!$B$11</f>
        <v>9.0056440056970957E-3</v>
      </c>
      <c r="M707" s="262">
        <f>+K707/Tiempos!$B$12</f>
        <v>4.5028220028485479E-3</v>
      </c>
      <c r="N707" s="237"/>
      <c r="O707" s="237"/>
      <c r="P707" s="237"/>
      <c r="Q707" s="237"/>
    </row>
    <row r="708" spans="1:17" x14ac:dyDescent="0.35">
      <c r="A708" s="81"/>
      <c r="B708" s="81">
        <v>2</v>
      </c>
      <c r="C708" s="83">
        <v>1</v>
      </c>
      <c r="D708" s="83" t="s">
        <v>46</v>
      </c>
      <c r="E708" s="114" t="s">
        <v>455</v>
      </c>
      <c r="F708" s="81" t="str">
        <f>+F707</f>
        <v>CHA_SANT_2D_EST</v>
      </c>
      <c r="G708" s="143">
        <f>VLOOKUP(F708,Volumenes!$D$20:$F$222,3,FALSE)</f>
        <v>13.157346735978763</v>
      </c>
      <c r="H708" s="97"/>
      <c r="I708" s="98">
        <f>35/60</f>
        <v>0.58333333333333337</v>
      </c>
      <c r="J708" s="110">
        <f>+I708*(1+Tiempos!$C$17)</f>
        <v>0.61395833333333338</v>
      </c>
      <c r="K708" s="123">
        <f t="shared" si="100"/>
        <v>8.0780626731102956</v>
      </c>
      <c r="L708" s="98">
        <f>+K708/Tiempos!$B$11</f>
        <v>1.7561005811109337E-2</v>
      </c>
      <c r="M708" s="261">
        <f>+K708/Tiempos!$B$12</f>
        <v>8.7805029055546685E-3</v>
      </c>
      <c r="N708" s="236"/>
      <c r="O708" s="236"/>
      <c r="P708" s="236"/>
      <c r="Q708" s="236"/>
    </row>
    <row r="709" spans="1:17" x14ac:dyDescent="0.35">
      <c r="A709" s="92"/>
      <c r="B709" s="92">
        <v>2</v>
      </c>
      <c r="C709" s="100">
        <v>1</v>
      </c>
      <c r="D709" s="100" t="s">
        <v>327</v>
      </c>
      <c r="E709" s="178" t="s">
        <v>889</v>
      </c>
      <c r="F709" s="92" t="str">
        <f>+Volumenes!D41</f>
        <v>BUL_VAC</v>
      </c>
      <c r="G709" s="144">
        <f>VLOOKUP(F709,Volumenes!$D$20:$F$222,3,FALSE)</f>
        <v>24.852766056848775</v>
      </c>
      <c r="H709" s="102">
        <f>VLOOKUP(F709,Tiempos!$D$42:F159,2,FALSE)</f>
        <v>10</v>
      </c>
      <c r="I709" s="103">
        <f>VLOOKUP(F709,Tiempos!$D$42:$F$157,3,FALSE)</f>
        <v>8.5470085470085472E-2</v>
      </c>
      <c r="J709" s="111">
        <f>+I709*(1+Tiempos!$C$17)</f>
        <v>8.9957264957264957E-2</v>
      </c>
      <c r="K709" s="146">
        <f t="shared" si="100"/>
        <v>2.2356868610968665</v>
      </c>
      <c r="L709" s="103">
        <f>+K709/Tiempos!$B$11</f>
        <v>4.8601888284714491E-3</v>
      </c>
      <c r="M709" s="262">
        <f>+K709/Tiempos!$B$12</f>
        <v>2.4300944142357245E-3</v>
      </c>
      <c r="N709" s="237"/>
      <c r="O709" s="237"/>
      <c r="P709" s="237"/>
      <c r="Q709" s="237"/>
    </row>
    <row r="710" spans="1:17" x14ac:dyDescent="0.35">
      <c r="A710" s="81"/>
      <c r="B710" s="81">
        <v>2</v>
      </c>
      <c r="C710" s="83">
        <v>1</v>
      </c>
      <c r="D710" s="83" t="s">
        <v>327</v>
      </c>
      <c r="E710" s="114" t="s">
        <v>890</v>
      </c>
      <c r="F710" s="81" t="str">
        <f>+F709</f>
        <v>BUL_VAC</v>
      </c>
      <c r="G710" s="143">
        <f>VLOOKUP(F710,Volumenes!$D$20:$F$222,3,FALSE)</f>
        <v>24.852766056848775</v>
      </c>
      <c r="H710" s="97"/>
      <c r="I710" s="98">
        <f>15/60</f>
        <v>0.25</v>
      </c>
      <c r="J710" s="110">
        <f>+I710*(1+Tiempos!$C$17)</f>
        <v>0.263125</v>
      </c>
      <c r="K710" s="123">
        <f t="shared" si="100"/>
        <v>6.5393840687083342</v>
      </c>
      <c r="L710" s="98">
        <f>+K710/Tiempos!$B$11</f>
        <v>1.4216052323278987E-2</v>
      </c>
      <c r="M710" s="261">
        <f>+K710/Tiempos!$B$12</f>
        <v>7.1080261616394934E-3</v>
      </c>
      <c r="N710" s="236"/>
      <c r="O710" s="236"/>
      <c r="P710" s="236"/>
      <c r="Q710" s="236"/>
    </row>
    <row r="711" spans="1:17" x14ac:dyDescent="0.35">
      <c r="A711" s="81"/>
      <c r="B711" s="81">
        <v>2</v>
      </c>
      <c r="C711" s="83">
        <v>1</v>
      </c>
      <c r="D711" s="83" t="s">
        <v>327</v>
      </c>
      <c r="E711" s="114" t="s">
        <v>891</v>
      </c>
      <c r="F711" s="81" t="str">
        <f>+F710</f>
        <v>BUL_VAC</v>
      </c>
      <c r="G711" s="143">
        <f>VLOOKUP(F711,Volumenes!$D$20:$F$222,3,FALSE)</f>
        <v>24.852766056848775</v>
      </c>
      <c r="H711" s="97"/>
      <c r="I711" s="98">
        <f>20/60</f>
        <v>0.33333333333333331</v>
      </c>
      <c r="J711" s="110">
        <f>+I711*(1+Tiempos!$C$17)</f>
        <v>0.35083333333333333</v>
      </c>
      <c r="K711" s="123">
        <f t="shared" si="100"/>
        <v>8.7191787582777778</v>
      </c>
      <c r="L711" s="98">
        <f>+K711/Tiempos!$B$11</f>
        <v>1.8954736431038649E-2</v>
      </c>
      <c r="M711" s="261">
        <f>+K711/Tiempos!$B$12</f>
        <v>9.4773682155193245E-3</v>
      </c>
      <c r="N711" s="236"/>
      <c r="O711" s="236"/>
      <c r="P711" s="236"/>
      <c r="Q711" s="236"/>
    </row>
    <row r="712" spans="1:17" x14ac:dyDescent="0.35">
      <c r="A712" s="75"/>
      <c r="B712" s="75"/>
      <c r="E712" s="120"/>
      <c r="F712" s="75"/>
      <c r="G712" s="152"/>
      <c r="H712" s="105"/>
      <c r="I712" s="109"/>
      <c r="J712" s="107"/>
      <c r="K712" s="162"/>
      <c r="L712" s="308">
        <f>SUM(L697:L711)</f>
        <v>0.14580781856393821</v>
      </c>
      <c r="M712" s="308">
        <f>SUM(M697:M711)</f>
        <v>7.2903909281969104E-2</v>
      </c>
      <c r="N712" s="295"/>
      <c r="O712" s="295"/>
      <c r="P712" s="295"/>
      <c r="Q712" s="295"/>
    </row>
  </sheetData>
  <printOptions horizontalCentered="1"/>
  <pageMargins left="0.19685039370078741" right="0.19685039370078741" top="0.39370078740157483" bottom="0.59055118110236227" header="0.19685039370078741" footer="0.19685039370078741"/>
  <pageSetup paperSize="9" scale="54" fitToHeight="9" orientation="landscape" r:id="rId1"/>
  <headerFooter alignWithMargins="0">
    <oddFooter>&amp;R&amp;P de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7F623-8BF2-443B-B60D-660B41824C0A}">
  <sheetPr>
    <pageSetUpPr fitToPage="1"/>
  </sheetPr>
  <dimension ref="A1:T160"/>
  <sheetViews>
    <sheetView topLeftCell="B1" zoomScale="66" zoomScaleNormal="66" workbookViewId="0">
      <pane ySplit="5" topLeftCell="A48" activePane="bottomLeft" state="frozen"/>
      <selection pane="bottomLeft" activeCell="A66" sqref="A66:S66"/>
    </sheetView>
  </sheetViews>
  <sheetFormatPr baseColWidth="10" defaultColWidth="11.59765625" defaultRowHeight="13.5" x14ac:dyDescent="0.35"/>
  <cols>
    <col min="1" max="1" width="129" style="119" customWidth="1"/>
    <col min="2" max="3" width="11.265625" style="119" customWidth="1"/>
    <col min="4" max="4" width="9.1328125" style="119" customWidth="1"/>
    <col min="5" max="6" width="11.59765625" style="119"/>
    <col min="7" max="7" width="9.265625" style="119" customWidth="1"/>
    <col min="8" max="9" width="11.59765625" style="119"/>
    <col min="10" max="10" width="8.265625" style="119" customWidth="1"/>
    <col min="11" max="12" width="11.59765625" style="119"/>
    <col min="13" max="13" width="8.265625" style="119" customWidth="1"/>
    <col min="14" max="14" width="11.86328125" style="119" customWidth="1"/>
    <col min="15" max="15" width="10.265625" style="119" customWidth="1"/>
    <col min="16" max="16" width="8.265625" style="119" customWidth="1"/>
    <col min="17" max="18" width="11.59765625" style="119"/>
    <col min="19" max="19" width="8.265625" style="119" customWidth="1"/>
    <col min="20" max="16384" width="11.59765625" style="119"/>
  </cols>
  <sheetData>
    <row r="1" spans="1:19" ht="22.5" x14ac:dyDescent="0.6">
      <c r="A1" s="704" t="s">
        <v>1050</v>
      </c>
      <c r="B1" s="702"/>
      <c r="C1" s="703"/>
      <c r="D1" s="703"/>
      <c r="E1" s="703"/>
      <c r="F1" s="703"/>
      <c r="G1" s="703"/>
      <c r="H1" s="703"/>
      <c r="I1" s="703"/>
      <c r="J1" s="703"/>
      <c r="K1" s="703"/>
      <c r="L1" s="703"/>
      <c r="M1" s="703"/>
      <c r="N1" s="703"/>
      <c r="O1" s="703"/>
      <c r="P1" s="703"/>
      <c r="Q1" s="703"/>
      <c r="R1" s="703"/>
      <c r="S1" s="703"/>
    </row>
    <row r="2" spans="1:19" ht="22.9" thickBot="1" x14ac:dyDescent="0.65">
      <c r="A2" s="704"/>
      <c r="B2" s="703"/>
      <c r="C2" s="703"/>
      <c r="D2" s="703"/>
      <c r="E2" s="703"/>
      <c r="F2" s="703"/>
      <c r="G2" s="703"/>
      <c r="H2" s="703"/>
      <c r="I2" s="703"/>
      <c r="J2" s="703"/>
      <c r="K2" s="703"/>
      <c r="L2" s="703"/>
      <c r="M2" s="703"/>
      <c r="N2" s="703"/>
      <c r="O2" s="703"/>
      <c r="P2" s="703"/>
      <c r="Q2" s="703"/>
      <c r="R2" s="703"/>
      <c r="S2" s="703"/>
    </row>
    <row r="3" spans="1:19" ht="28.9" customHeight="1" x14ac:dyDescent="0.6">
      <c r="A3" s="704"/>
      <c r="B3" s="736" t="s">
        <v>1051</v>
      </c>
      <c r="C3" s="737"/>
      <c r="D3" s="738"/>
      <c r="E3" s="745" t="s">
        <v>1052</v>
      </c>
      <c r="F3" s="746"/>
      <c r="G3" s="746"/>
      <c r="H3" s="746"/>
      <c r="I3" s="746"/>
      <c r="J3" s="746"/>
      <c r="K3" s="746"/>
      <c r="L3" s="746"/>
      <c r="M3" s="746"/>
      <c r="N3" s="746"/>
      <c r="O3" s="746"/>
      <c r="P3" s="746"/>
      <c r="Q3" s="746"/>
      <c r="R3" s="746"/>
      <c r="S3" s="747"/>
    </row>
    <row r="4" spans="1:19" ht="27.6" customHeight="1" thickBot="1" x14ac:dyDescent="0.4">
      <c r="A4" s="703"/>
      <c r="B4" s="739"/>
      <c r="C4" s="740"/>
      <c r="D4" s="741"/>
      <c r="E4" s="748" t="s">
        <v>1053</v>
      </c>
      <c r="F4" s="749"/>
      <c r="G4" s="749"/>
      <c r="H4" s="749" t="s">
        <v>1054</v>
      </c>
      <c r="I4" s="749"/>
      <c r="J4" s="749"/>
      <c r="K4" s="749" t="s">
        <v>1055</v>
      </c>
      <c r="L4" s="749"/>
      <c r="M4" s="749"/>
      <c r="N4" s="750" t="s">
        <v>1065</v>
      </c>
      <c r="O4" s="751"/>
      <c r="P4" s="752"/>
      <c r="Q4" s="749" t="s">
        <v>1066</v>
      </c>
      <c r="R4" s="749"/>
      <c r="S4" s="753"/>
    </row>
    <row r="5" spans="1:19" ht="52.15" customHeight="1" thickBot="1" x14ac:dyDescent="0.4">
      <c r="A5" s="269" t="s">
        <v>1062</v>
      </c>
      <c r="B5" s="263" t="s">
        <v>1063</v>
      </c>
      <c r="C5" s="257" t="s">
        <v>1064</v>
      </c>
      <c r="D5" s="258" t="s">
        <v>354</v>
      </c>
      <c r="E5" s="263" t="s">
        <v>1063</v>
      </c>
      <c r="F5" s="257" t="s">
        <v>1064</v>
      </c>
      <c r="G5" s="258" t="s">
        <v>355</v>
      </c>
      <c r="H5" s="257" t="s">
        <v>1063</v>
      </c>
      <c r="I5" s="257" t="s">
        <v>1064</v>
      </c>
      <c r="J5" s="258" t="s">
        <v>355</v>
      </c>
      <c r="K5" s="257" t="s">
        <v>1063</v>
      </c>
      <c r="L5" s="257" t="s">
        <v>1064</v>
      </c>
      <c r="M5" s="258" t="s">
        <v>355</v>
      </c>
      <c r="N5" s="257" t="s">
        <v>1063</v>
      </c>
      <c r="O5" s="257" t="s">
        <v>1064</v>
      </c>
      <c r="P5" s="258" t="s">
        <v>355</v>
      </c>
      <c r="Q5" s="257" t="s">
        <v>1063</v>
      </c>
      <c r="R5" s="257" t="s">
        <v>1064</v>
      </c>
      <c r="S5" s="716" t="s">
        <v>355</v>
      </c>
    </row>
    <row r="6" spans="1:19" ht="19.899999999999999" customHeight="1" thickBot="1" x14ac:dyDescent="0.5">
      <c r="A6" s="342" t="str">
        <f>+'PROCESOS Baja'!A7</f>
        <v>MATERIAL RECEIPT</v>
      </c>
      <c r="B6" s="335">
        <f>SUM(B7:B12)</f>
        <v>1.7075139384730944</v>
      </c>
      <c r="C6" s="343">
        <v>2</v>
      </c>
      <c r="D6" s="338">
        <f>+B6/C6</f>
        <v>0.8537569692365472</v>
      </c>
      <c r="E6" s="335">
        <f>SUM(E7:E12)</f>
        <v>0.51661857261930688</v>
      </c>
      <c r="F6" s="336">
        <v>1</v>
      </c>
      <c r="G6" s="338">
        <f>+E6/F6</f>
        <v>0.51661857261930688</v>
      </c>
      <c r="H6" s="344"/>
      <c r="I6" s="337">
        <v>1</v>
      </c>
      <c r="J6" s="339"/>
      <c r="K6" s="339"/>
      <c r="L6" s="339"/>
      <c r="M6" s="339"/>
      <c r="N6" s="339"/>
      <c r="O6" s="339"/>
      <c r="P6" s="339"/>
      <c r="Q6" s="339"/>
      <c r="R6" s="339"/>
      <c r="S6" s="345"/>
    </row>
    <row r="7" spans="1:19" ht="19.899999999999999" customHeight="1" x14ac:dyDescent="0.45">
      <c r="A7" s="546" t="str">
        <f>+'PROCESOS Baja'!A8</f>
        <v>Conventional Reception</v>
      </c>
      <c r="B7" s="549">
        <f>+'PROCESOS Baja'!L48</f>
        <v>1.1118111202078678</v>
      </c>
      <c r="C7" s="496"/>
      <c r="D7" s="497"/>
      <c r="E7" s="552">
        <f>+'PROCESOS Baja'!M48</f>
        <v>0.23580622382371566</v>
      </c>
      <c r="F7" s="384"/>
      <c r="G7" s="358"/>
      <c r="H7" s="353"/>
      <c r="I7" s="386"/>
      <c r="J7" s="353"/>
      <c r="K7" s="356"/>
      <c r="L7" s="386"/>
      <c r="M7" s="354"/>
      <c r="N7" s="353"/>
      <c r="O7" s="386"/>
      <c r="P7" s="353"/>
      <c r="Q7" s="356"/>
      <c r="R7" s="386"/>
      <c r="S7" s="359"/>
    </row>
    <row r="8" spans="1:19" ht="19.899999999999999" customHeight="1" x14ac:dyDescent="0.45">
      <c r="A8" s="547" t="s">
        <v>1056</v>
      </c>
      <c r="B8" s="550">
        <f>+'PROCESOS Baja'!L73</f>
        <v>0.14466890354950759</v>
      </c>
      <c r="C8" s="498"/>
      <c r="D8" s="499"/>
      <c r="E8" s="550">
        <f>+'PROCESOS Baja'!M73</f>
        <v>3.7712886981407644E-2</v>
      </c>
      <c r="F8" s="454"/>
      <c r="G8" s="449"/>
      <c r="H8" s="450"/>
      <c r="I8" s="328"/>
      <c r="J8" s="450"/>
      <c r="K8" s="451"/>
      <c r="L8" s="320"/>
      <c r="M8" s="452"/>
      <c r="N8" s="450"/>
      <c r="O8" s="320"/>
      <c r="P8" s="450"/>
      <c r="Q8" s="451"/>
      <c r="R8" s="320"/>
      <c r="S8" s="453"/>
    </row>
    <row r="9" spans="1:19" ht="19.899999999999999" customHeight="1" x14ac:dyDescent="0.45">
      <c r="A9" s="547" t="s">
        <v>1057</v>
      </c>
      <c r="B9" s="550">
        <f>+'PROCESOS Baja'!L85</f>
        <v>4.0260765050167215E-2</v>
      </c>
      <c r="C9" s="498"/>
      <c r="D9" s="499"/>
      <c r="E9" s="550">
        <f>+'PROCESOS Baja'!M73</f>
        <v>3.7712886981407644E-2</v>
      </c>
      <c r="F9" s="454"/>
      <c r="G9" s="449"/>
      <c r="H9" s="450"/>
      <c r="I9" s="328"/>
      <c r="J9" s="450"/>
      <c r="K9" s="451"/>
      <c r="L9" s="320"/>
      <c r="M9" s="452"/>
      <c r="N9" s="450"/>
      <c r="O9" s="320"/>
      <c r="P9" s="450"/>
      <c r="Q9" s="451"/>
      <c r="R9" s="320"/>
      <c r="S9" s="453"/>
    </row>
    <row r="10" spans="1:19" ht="19.899999999999999" customHeight="1" x14ac:dyDescent="0.45">
      <c r="A10" s="547" t="s">
        <v>1058</v>
      </c>
      <c r="B10" s="550">
        <f>+'PROCESOS Baja'!L96</f>
        <v>4.722756410256411E-2</v>
      </c>
      <c r="C10" s="498"/>
      <c r="D10" s="499"/>
      <c r="E10" s="550">
        <f>+'PROCESOS Baja'!M96</f>
        <v>2.3613782051282055E-2</v>
      </c>
      <c r="F10" s="454"/>
      <c r="G10" s="449"/>
      <c r="H10" s="450"/>
      <c r="I10" s="328"/>
      <c r="J10" s="450"/>
      <c r="K10" s="451"/>
      <c r="L10" s="320"/>
      <c r="M10" s="452"/>
      <c r="N10" s="450"/>
      <c r="O10" s="320"/>
      <c r="P10" s="450"/>
      <c r="Q10" s="451"/>
      <c r="R10" s="320"/>
      <c r="S10" s="453"/>
    </row>
    <row r="11" spans="1:19" ht="19.899999999999999" customHeight="1" x14ac:dyDescent="0.45">
      <c r="A11" s="548" t="s">
        <v>1059</v>
      </c>
      <c r="B11" s="550">
        <f>+'PROCESOS Baja'!L107</f>
        <v>0.1824714673913044</v>
      </c>
      <c r="C11" s="498"/>
      <c r="D11" s="499"/>
      <c r="E11" s="550">
        <f>+'PROCESOS Baja'!M107</f>
        <v>9.1235733695652202E-2</v>
      </c>
      <c r="F11" s="232"/>
      <c r="G11" s="449"/>
      <c r="H11" s="450"/>
      <c r="I11" s="320"/>
      <c r="J11" s="450"/>
      <c r="K11" s="451"/>
      <c r="L11" s="320"/>
      <c r="M11" s="452"/>
      <c r="N11" s="450"/>
      <c r="O11" s="320"/>
      <c r="P11" s="450"/>
      <c r="Q11" s="451"/>
      <c r="R11" s="320"/>
      <c r="S11" s="453"/>
    </row>
    <row r="12" spans="1:19" ht="19.899999999999999" customHeight="1" thickBot="1" x14ac:dyDescent="0.5">
      <c r="A12" s="546" t="s">
        <v>1060</v>
      </c>
      <c r="B12" s="551">
        <f>+'PROCESOS Baja'!L118</f>
        <v>0.18107411817168337</v>
      </c>
      <c r="C12" s="500"/>
      <c r="D12" s="438"/>
      <c r="E12" s="551">
        <f>+'PROCESOS Baja'!M118</f>
        <v>9.0537059085841684E-2</v>
      </c>
      <c r="F12" s="455"/>
      <c r="G12" s="302"/>
      <c r="H12" s="314"/>
      <c r="I12" s="456"/>
      <c r="J12" s="314"/>
      <c r="K12" s="357"/>
      <c r="L12" s="456"/>
      <c r="M12" s="355"/>
      <c r="N12" s="314"/>
      <c r="O12" s="456"/>
      <c r="P12" s="314"/>
      <c r="Q12" s="357"/>
      <c r="R12" s="456"/>
      <c r="S12" s="315"/>
    </row>
    <row r="13" spans="1:19" ht="19.899999999999999" customHeight="1" thickBot="1" x14ac:dyDescent="0.5">
      <c r="A13" s="556" t="s">
        <v>1061</v>
      </c>
      <c r="B13" s="557">
        <f>+'PROCESOS Baja'!L133</f>
        <v>1.4345928649386848</v>
      </c>
      <c r="C13" s="500">
        <v>2</v>
      </c>
      <c r="D13" s="501">
        <f>+'PROCESOS Baja'!L135</f>
        <v>0.71729643246934238</v>
      </c>
      <c r="E13" s="502"/>
      <c r="F13" s="285"/>
      <c r="G13" s="285"/>
      <c r="H13" s="558">
        <f>+'PROCESOS Baja'!N133</f>
        <v>0.10284953614548493</v>
      </c>
      <c r="I13" s="316">
        <f>+'PROCESOS Baja'!N134</f>
        <v>1</v>
      </c>
      <c r="J13" s="317">
        <f>+'PROCESOS Baja'!N135</f>
        <v>0.10284953614548493</v>
      </c>
      <c r="K13" s="285"/>
      <c r="L13" s="285"/>
      <c r="M13" s="285"/>
      <c r="N13" s="285"/>
      <c r="O13" s="285"/>
      <c r="P13" s="285"/>
      <c r="Q13" s="285"/>
      <c r="R13" s="285"/>
      <c r="S13" s="318"/>
    </row>
    <row r="14" spans="1:19" ht="19.899999999999999" customHeight="1" thickBot="1" x14ac:dyDescent="0.5">
      <c r="A14" s="538" t="str">
        <f>+'PROCESOS Baja'!A137</f>
        <v>UBICACIÓN MATERIAL</v>
      </c>
      <c r="B14" s="335"/>
      <c r="C14" s="336"/>
      <c r="D14" s="503"/>
      <c r="E14" s="504"/>
      <c r="F14" s="337"/>
      <c r="G14" s="338"/>
      <c r="H14" s="339"/>
      <c r="I14" s="339"/>
      <c r="J14" s="339"/>
      <c r="K14" s="339"/>
      <c r="L14" s="339"/>
      <c r="M14" s="339"/>
      <c r="N14" s="339"/>
      <c r="O14" s="339"/>
      <c r="P14" s="339"/>
      <c r="Q14" s="340">
        <f>+Q15+Q16</f>
        <v>0.66546708670920296</v>
      </c>
      <c r="R14" s="336">
        <v>1</v>
      </c>
      <c r="S14" s="341">
        <f>+Q14/R14</f>
        <v>0.66546708670920296</v>
      </c>
    </row>
    <row r="15" spans="1:19" ht="19.899999999999999" customHeight="1" x14ac:dyDescent="0.4">
      <c r="A15" s="559" t="str">
        <f>+'PROCESOS Baja'!A138</f>
        <v>Ubicar cajas de Proveedor desde Recepciones (Proveedor + Chapa 3D+China almacén central)</v>
      </c>
      <c r="B15" s="562">
        <f>+'PROCESOS Baja'!L144</f>
        <v>1.1796050469074348</v>
      </c>
      <c r="C15" s="505">
        <v>4</v>
      </c>
      <c r="D15" s="566">
        <f>+(B15+B16+B19+B20+B21+B22)/C15</f>
        <v>0.68077788017784391</v>
      </c>
      <c r="E15" s="502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567">
        <f>+'PROCESOS Baja'!Q144</f>
        <v>0.58980252345371742</v>
      </c>
      <c r="R15" s="333"/>
      <c r="S15" s="334"/>
    </row>
    <row r="16" spans="1:19" ht="19.899999999999999" customHeight="1" x14ac:dyDescent="0.4">
      <c r="A16" s="560" t="str">
        <f>+'PROCESOS Baja'!A146</f>
        <v>Ubicar en almacén central chapa 3D pasando por diferentes máquinas de chapa. Playa &gt; Almacén</v>
      </c>
      <c r="B16" s="563">
        <f>+'PROCESOS Baja'!L152</f>
        <v>0.151329126510971</v>
      </c>
      <c r="C16" s="232"/>
      <c r="D16" s="506"/>
      <c r="E16" s="507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568">
        <f>+'PROCESOS Baja'!Q152</f>
        <v>7.5664563255485498E-2</v>
      </c>
      <c r="R16" s="321"/>
      <c r="S16" s="322"/>
    </row>
    <row r="17" spans="1:19" ht="19.899999999999999" customHeight="1" thickBot="1" x14ac:dyDescent="0.5">
      <c r="A17" s="560" t="str">
        <f>+'PROCESOS Baja'!A154</f>
        <v>Ubicar Armazones en Almacén Central desde ubicación alm. material chapa 3D interno</v>
      </c>
      <c r="B17" s="563">
        <f>+'PROCESOS Baja'!L161</f>
        <v>5.4091694537346715E-3</v>
      </c>
      <c r="C17" s="232"/>
      <c r="D17" s="508"/>
      <c r="E17" s="509"/>
      <c r="F17" s="330"/>
      <c r="G17" s="382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324"/>
    </row>
    <row r="18" spans="1:19" ht="19.899999999999999" customHeight="1" x14ac:dyDescent="0.45">
      <c r="A18" s="539" t="str">
        <f>+'PROCESOS Baja'!A163</f>
        <v>DESUBICACIÓN MATERIAL ALMACÉN (8 - 120)</v>
      </c>
      <c r="B18" s="511"/>
      <c r="C18" s="512"/>
      <c r="D18" s="513"/>
      <c r="E18" s="514"/>
      <c r="F18" s="327"/>
      <c r="G18" s="272"/>
      <c r="H18" s="272"/>
      <c r="I18" s="327"/>
      <c r="J18" s="272"/>
      <c r="K18" s="272"/>
      <c r="L18" s="327"/>
      <c r="M18" s="272"/>
      <c r="N18" s="272"/>
      <c r="O18" s="272"/>
      <c r="P18" s="272"/>
      <c r="Q18" s="542">
        <f>+Q19+Q20+Q21+Q22</f>
        <v>0.68986494668523701</v>
      </c>
      <c r="R18" s="313">
        <v>1</v>
      </c>
      <c r="S18" s="319">
        <f>+Q18/R18</f>
        <v>0.68986494668523701</v>
      </c>
    </row>
    <row r="19" spans="1:19" ht="19.899999999999999" customHeight="1" x14ac:dyDescent="0.45">
      <c r="A19" s="560" t="str">
        <f>+'PROCESOS Baja'!A164</f>
        <v>Desubicación desde almacén (caótico) a Picking (zona fija) Almacen caótico &gt; Almacén Picking</v>
      </c>
      <c r="B19" s="561">
        <f>+'PROCESOS Baja'!L176</f>
        <v>0.118542085861204</v>
      </c>
      <c r="C19" s="515"/>
      <c r="D19" s="508"/>
      <c r="E19" s="516"/>
      <c r="F19" s="328"/>
      <c r="G19" s="320"/>
      <c r="H19" s="320"/>
      <c r="I19" s="328"/>
      <c r="J19" s="320"/>
      <c r="K19" s="320"/>
      <c r="L19" s="328"/>
      <c r="M19" s="320"/>
      <c r="N19" s="320"/>
      <c r="O19" s="320"/>
      <c r="P19" s="320"/>
      <c r="Q19" s="564">
        <f>+'PROCESOS Baja'!Q176</f>
        <v>5.9271042930602001E-2</v>
      </c>
      <c r="R19" s="328"/>
      <c r="S19" s="323"/>
    </row>
    <row r="20" spans="1:19" ht="19.899999999999999" customHeight="1" x14ac:dyDescent="0.45">
      <c r="A20" s="560" t="str">
        <f>+'PROCESOS Baja'!A178</f>
        <v>Desubicación cajas componentes kanban a premontajes/"Sidreria" Almacén &gt; Playa</v>
      </c>
      <c r="B20" s="561">
        <f>+'PROCESOS Baja'!L197</f>
        <v>0.75563247175094517</v>
      </c>
      <c r="C20" s="515"/>
      <c r="D20" s="508"/>
      <c r="E20" s="516"/>
      <c r="F20" s="328"/>
      <c r="G20" s="320"/>
      <c r="H20" s="320"/>
      <c r="I20" s="328"/>
      <c r="J20" s="320"/>
      <c r="K20" s="320"/>
      <c r="L20" s="328"/>
      <c r="M20" s="320"/>
      <c r="N20" s="320"/>
      <c r="O20" s="320"/>
      <c r="P20" s="320"/>
      <c r="Q20" s="564">
        <f>+'PROCESOS Baja'!Q197</f>
        <v>0.37159250891422491</v>
      </c>
      <c r="R20" s="328"/>
      <c r="S20" s="323"/>
    </row>
    <row r="21" spans="1:19" ht="19.899999999999999" customHeight="1" x14ac:dyDescent="0.45">
      <c r="A21" s="560" t="str">
        <f>+'PROCESOS Baja'!A199</f>
        <v>Desubicar Chapa del almacén central hacia premontajes (3D  y Chapa ) Almacén &gt; Playa</v>
      </c>
      <c r="B21" s="561">
        <f>+'PROCESOS Baja'!L207</f>
        <v>0.32266439372933942</v>
      </c>
      <c r="C21" s="515"/>
      <c r="D21" s="508"/>
      <c r="E21" s="516"/>
      <c r="F21" s="328"/>
      <c r="G21" s="320"/>
      <c r="H21" s="320"/>
      <c r="I21" s="328"/>
      <c r="J21" s="320"/>
      <c r="K21" s="320"/>
      <c r="L21" s="328"/>
      <c r="M21" s="320"/>
      <c r="N21" s="320"/>
      <c r="O21" s="320"/>
      <c r="P21" s="320"/>
      <c r="Q21" s="565">
        <f>+'PROCESOS Baja'!Q207</f>
        <v>0.16133219686466971</v>
      </c>
      <c r="R21" s="328"/>
      <c r="S21" s="323"/>
    </row>
    <row r="22" spans="1:19" ht="19.899999999999999" customHeight="1" x14ac:dyDescent="0.45">
      <c r="A22" s="560" t="str">
        <f>+'PROCESOS Baja'!A209</f>
        <v>Desubicar China del Almacén central hacía premontajes. Almacén &gt; Playa</v>
      </c>
      <c r="B22" s="561">
        <f>+'PROCESOS Baja'!L217</f>
        <v>0.19533839595148075</v>
      </c>
      <c r="C22" s="515"/>
      <c r="D22" s="508"/>
      <c r="E22" s="516"/>
      <c r="F22" s="328"/>
      <c r="G22" s="320"/>
      <c r="H22" s="320"/>
      <c r="I22" s="328"/>
      <c r="J22" s="320"/>
      <c r="K22" s="320"/>
      <c r="L22" s="328"/>
      <c r="M22" s="320"/>
      <c r="N22" s="320"/>
      <c r="O22" s="320"/>
      <c r="P22" s="320"/>
      <c r="Q22" s="565">
        <f>+'PROCESOS Baja'!Q217</f>
        <v>9.7669197975740377E-2</v>
      </c>
      <c r="R22" s="328"/>
      <c r="S22" s="323"/>
    </row>
    <row r="23" spans="1:19" ht="19.899999999999999" customHeight="1" x14ac:dyDescent="0.45">
      <c r="A23" s="649" t="str">
        <f>+'PROCESOS Baja'!A612</f>
        <v>Llevar China del Almacén automático hacia playa de salida. Almacén automático &gt; Playa</v>
      </c>
      <c r="B23" s="647">
        <f>+'PROCESOS Baja'!L617</f>
        <v>5.3116597747321984E-2</v>
      </c>
      <c r="C23" s="515"/>
      <c r="D23" s="508"/>
      <c r="E23" s="517">
        <f>+'PROCESOS Baja'!M617</f>
        <v>2.6558298873660992E-2</v>
      </c>
      <c r="F23" s="328"/>
      <c r="G23" s="320"/>
      <c r="H23" s="320"/>
      <c r="I23" s="328"/>
      <c r="J23" s="320"/>
      <c r="K23" s="320"/>
      <c r="L23" s="328"/>
      <c r="M23" s="320"/>
      <c r="N23" s="320"/>
      <c r="O23" s="320"/>
      <c r="P23" s="320"/>
      <c r="Q23" s="320"/>
      <c r="R23" s="328"/>
      <c r="S23" s="323"/>
    </row>
    <row r="24" spans="1:19" ht="19.899999999999999" customHeight="1" thickBot="1" x14ac:dyDescent="0.45">
      <c r="A24" s="540"/>
      <c r="B24" s="510"/>
      <c r="C24" s="518"/>
      <c r="D24" s="519"/>
      <c r="E24" s="520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6"/>
    </row>
    <row r="25" spans="1:19" ht="19.899999999999999" customHeight="1" x14ac:dyDescent="0.45">
      <c r="A25" s="539" t="str">
        <f>+'PROCESOS Baja'!A219</f>
        <v>SUMINISTRO LINEAS DE PREMONTAJE Y PETICIÓN KANBAN</v>
      </c>
      <c r="B25" s="511"/>
      <c r="C25" s="512"/>
      <c r="D25" s="521"/>
      <c r="E25" s="514"/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329"/>
    </row>
    <row r="26" spans="1:19" ht="19.899999999999999" customHeight="1" x14ac:dyDescent="0.45">
      <c r="A26" s="585" t="str">
        <f>+'PROCESOS Baja'!A220</f>
        <v>Cajas desde Playa hasta premontajes/Sidreria L1/L2</v>
      </c>
      <c r="B26" s="587">
        <f>+'PROCESOS Baja'!L230</f>
        <v>0.61687148914431966</v>
      </c>
      <c r="C26" s="522">
        <v>2</v>
      </c>
      <c r="D26" s="523">
        <f>+(B26+B30+B31)/C26</f>
        <v>0.34576542383967446</v>
      </c>
      <c r="E26" s="517">
        <f>+'PROCESOS Baja'!M230</f>
        <v>0.31630434782608696</v>
      </c>
      <c r="F26" s="320"/>
      <c r="G26" s="320"/>
      <c r="H26" s="320"/>
      <c r="I26" s="320"/>
      <c r="J26" s="320"/>
      <c r="K26" s="328"/>
      <c r="L26" s="321"/>
      <c r="M26" s="366"/>
      <c r="N26" s="320"/>
      <c r="O26" s="320"/>
      <c r="P26" s="320"/>
      <c r="Q26" s="320"/>
      <c r="R26" s="320"/>
      <c r="S26" s="323"/>
    </row>
    <row r="27" spans="1:19" ht="19.899999999999999" customHeight="1" x14ac:dyDescent="0.45">
      <c r="A27" s="585" t="str">
        <f>+'PROCESOS Baja'!A238</f>
        <v>CHAPA desde la playa de salida hasta los premontajes Todo</v>
      </c>
      <c r="B27" s="587">
        <f>+'PROCESOS Baja'!L250</f>
        <v>0.59717711922349681</v>
      </c>
      <c r="C27" s="522"/>
      <c r="D27" s="523"/>
      <c r="E27" s="524">
        <f>+'PROCESOS Baja'!M250</f>
        <v>0.29858855961174841</v>
      </c>
      <c r="F27" s="321">
        <v>1</v>
      </c>
      <c r="G27" s="366">
        <f>(E27+E28)/F27</f>
        <v>0.35725837492204193</v>
      </c>
      <c r="H27" s="320"/>
      <c r="I27" s="320"/>
      <c r="J27" s="320"/>
      <c r="K27" s="328"/>
      <c r="L27" s="321"/>
      <c r="M27" s="321"/>
      <c r="N27" s="320"/>
      <c r="O27" s="320"/>
      <c r="P27" s="320"/>
      <c r="Q27" s="320"/>
      <c r="R27" s="320"/>
      <c r="S27" s="323"/>
    </row>
    <row r="28" spans="1:19" ht="19.899999999999999" customHeight="1" x14ac:dyDescent="0.45">
      <c r="A28" s="586" t="str">
        <f>+'PROCESOS Baja'!A252</f>
        <v>CHINA desde playa de salida hasta los premontajes L1/L2</v>
      </c>
      <c r="B28" s="587">
        <f>+'PROCESOS Baja'!L262</f>
        <v>0.11733963062058711</v>
      </c>
      <c r="C28" s="522"/>
      <c r="D28" s="523"/>
      <c r="E28" s="524">
        <f>+'PROCESOS Baja'!M262</f>
        <v>5.8669815310293555E-2</v>
      </c>
      <c r="F28" s="320"/>
      <c r="G28" s="320"/>
      <c r="H28" s="320"/>
      <c r="I28" s="320"/>
      <c r="J28" s="320"/>
      <c r="K28" s="320"/>
      <c r="L28" s="321"/>
      <c r="M28" s="321"/>
      <c r="N28" s="320"/>
      <c r="O28" s="320"/>
      <c r="P28" s="320"/>
      <c r="Q28" s="320"/>
      <c r="R28" s="320"/>
      <c r="S28" s="323"/>
    </row>
    <row r="29" spans="1:19" ht="19.899999999999999" customHeight="1" x14ac:dyDescent="0.45">
      <c r="A29" s="585" t="str">
        <f>+'PROCESOS Baja'!A264</f>
        <v>Cajas componentes y CHINA desde Playa de salida hasta Linea 3. SOLO MAÑANA</v>
      </c>
      <c r="B29" s="587">
        <f>+'PROCESOS Baja'!L274</f>
        <v>3.6968430843552579E-2</v>
      </c>
      <c r="C29" s="522"/>
      <c r="D29" s="523"/>
      <c r="E29" s="524">
        <f>+'PROCESOS Baja'!M274</f>
        <v>1.8484215421776289E-2</v>
      </c>
      <c r="F29" s="320"/>
      <c r="G29" s="320"/>
      <c r="H29" s="320"/>
      <c r="I29" s="320"/>
      <c r="J29" s="320"/>
      <c r="K29" s="320"/>
      <c r="L29" s="321"/>
      <c r="M29" s="321"/>
      <c r="N29" s="320"/>
      <c r="O29" s="320"/>
      <c r="P29" s="320"/>
      <c r="Q29" s="320"/>
      <c r="R29" s="320"/>
      <c r="S29" s="323"/>
    </row>
    <row r="30" spans="1:19" ht="19.899999999999999" customHeight="1" x14ac:dyDescent="0.45">
      <c r="A30" s="646" t="str">
        <f>+'PROCESOS Baja'!A276</f>
        <v>Würth desde zona de salida hasta premontajes/Línea 1</v>
      </c>
      <c r="B30" s="647">
        <f>+'PROCESOS Baja'!L286</f>
        <v>4.0752246198871987E-2</v>
      </c>
      <c r="C30" s="522"/>
      <c r="D30" s="523"/>
      <c r="E30" s="516"/>
      <c r="F30" s="320"/>
      <c r="G30" s="320"/>
      <c r="H30" s="320"/>
      <c r="I30" s="320"/>
      <c r="J30" s="320"/>
      <c r="K30" s="328">
        <f>+'PROCESOS Baja'!P286</f>
        <v>0</v>
      </c>
      <c r="L30" s="321"/>
      <c r="M30" s="321"/>
      <c r="N30" s="320"/>
      <c r="O30" s="320"/>
      <c r="P30" s="320"/>
      <c r="Q30" s="320"/>
      <c r="R30" s="320"/>
      <c r="S30" s="323"/>
    </row>
    <row r="31" spans="1:19" ht="19.899999999999999" customHeight="1" x14ac:dyDescent="0.45">
      <c r="A31" s="646" t="str">
        <f>+'PROCESOS Baja'!A288</f>
        <v>Würth desde zona de salida hasta premontajes/Línea L2/L3</v>
      </c>
      <c r="B31" s="647">
        <f>+'PROCESOS Baja'!L298</f>
        <v>3.3907112336157251E-2</v>
      </c>
      <c r="C31" s="522"/>
      <c r="D31" s="523"/>
      <c r="E31" s="516"/>
      <c r="F31" s="320"/>
      <c r="G31" s="320"/>
      <c r="H31" s="320"/>
      <c r="I31" s="320"/>
      <c r="J31" s="320"/>
      <c r="K31" s="328">
        <f>+'PROCESOS Baja'!P298</f>
        <v>0</v>
      </c>
      <c r="L31" s="320"/>
      <c r="M31" s="321"/>
      <c r="N31" s="320"/>
      <c r="O31" s="320"/>
      <c r="P31" s="320"/>
      <c r="Q31" s="320"/>
      <c r="R31" s="320"/>
      <c r="S31" s="323"/>
    </row>
    <row r="32" spans="1:19" ht="19.899999999999999" customHeight="1" x14ac:dyDescent="0.45">
      <c r="A32" s="582" t="str">
        <f>+'PROCESOS Baja'!A300</f>
        <v>Carros secuenciados desde Sidreria hasta Linea 1</v>
      </c>
      <c r="B32" s="583">
        <f>+'PROCESOS Baja'!L316</f>
        <v>2.8621334404738823</v>
      </c>
      <c r="C32" s="522">
        <v>4</v>
      </c>
      <c r="D32" s="523">
        <f>(+B32+B33)/C32</f>
        <v>0.97164065720022863</v>
      </c>
      <c r="E32" s="516"/>
      <c r="F32" s="320"/>
      <c r="G32" s="320"/>
      <c r="H32" s="328"/>
      <c r="I32" s="320"/>
      <c r="J32" s="320"/>
      <c r="K32" s="584">
        <f>+'PROCESOS Baja'!P316</f>
        <v>1.4310667202369411</v>
      </c>
      <c r="L32" s="321">
        <v>2</v>
      </c>
      <c r="M32" s="366">
        <f>+(K32+K33)/L32</f>
        <v>0.97164065720022863</v>
      </c>
      <c r="N32" s="320"/>
      <c r="O32" s="320"/>
      <c r="P32" s="320"/>
      <c r="Q32" s="320"/>
      <c r="R32" s="320"/>
      <c r="S32" s="323"/>
    </row>
    <row r="33" spans="1:19" ht="19.899999999999999" customHeight="1" x14ac:dyDescent="0.45">
      <c r="A33" s="582" t="str">
        <f>+'PROCESOS Baja'!A318</f>
        <v>Carros secuenciados desde Sidreria hasta Linea 2</v>
      </c>
      <c r="B33" s="583">
        <f>+'PROCESOS Baja'!L334</f>
        <v>1.0244291883270322</v>
      </c>
      <c r="C33" s="522"/>
      <c r="D33" s="523"/>
      <c r="E33" s="524"/>
      <c r="F33" s="321"/>
      <c r="G33" s="320"/>
      <c r="H33" s="328"/>
      <c r="I33" s="320"/>
      <c r="J33" s="320"/>
      <c r="K33" s="584">
        <f>+'PROCESOS Baja'!P334</f>
        <v>0.51221459416351611</v>
      </c>
      <c r="L33" s="321">
        <v>0</v>
      </c>
      <c r="M33" s="366" t="e">
        <f>+K33/L33</f>
        <v>#DIV/0!</v>
      </c>
      <c r="N33" s="320"/>
      <c r="O33" s="320"/>
      <c r="P33" s="320"/>
      <c r="Q33" s="320"/>
      <c r="R33" s="320"/>
      <c r="S33" s="323"/>
    </row>
    <row r="34" spans="1:19" ht="19.899999999999999" customHeight="1" x14ac:dyDescent="0.45">
      <c r="A34" s="644" t="str">
        <f>+'PROCESOS Baja'!A336</f>
        <v>Suministro desde Dobladora hasta Premontaje L1</v>
      </c>
      <c r="B34" s="645">
        <f>+'PROCESOS Baja'!L347</f>
        <v>0.13170801726292314</v>
      </c>
      <c r="C34" s="522"/>
      <c r="D34" s="523"/>
      <c r="E34" s="525">
        <f>+'PROCESOS Baja'!M347</f>
        <v>6.5854008631461569E-2</v>
      </c>
      <c r="F34" s="330"/>
      <c r="G34" s="284"/>
      <c r="H34" s="331"/>
      <c r="I34" s="284"/>
      <c r="J34" s="284"/>
      <c r="K34" s="331"/>
      <c r="L34" s="330"/>
      <c r="M34" s="479"/>
      <c r="N34" s="284"/>
      <c r="O34" s="284"/>
      <c r="P34" s="284"/>
      <c r="Q34" s="284"/>
      <c r="R34" s="284"/>
      <c r="S34" s="324"/>
    </row>
    <row r="35" spans="1:19" ht="19.899999999999999" customHeight="1" x14ac:dyDescent="0.45">
      <c r="A35" s="644" t="str">
        <f>+'PROCESOS Baja'!A349</f>
        <v>Suministro desde Dobladora hasta Premontaje L2</v>
      </c>
      <c r="B35" s="645">
        <f>+'PROCESOS Baja'!L360</f>
        <v>0.16935139283124834</v>
      </c>
      <c r="C35" s="522"/>
      <c r="D35" s="523"/>
      <c r="E35" s="525">
        <f>+'PROCESOS Baja'!M360</f>
        <v>8.4675696415624169E-2</v>
      </c>
      <c r="F35" s="330"/>
      <c r="G35" s="284"/>
      <c r="H35" s="331"/>
      <c r="I35" s="284"/>
      <c r="J35" s="284"/>
      <c r="K35" s="331"/>
      <c r="L35" s="330"/>
      <c r="M35" s="479"/>
      <c r="N35" s="284"/>
      <c r="O35" s="284"/>
      <c r="P35" s="284"/>
      <c r="Q35" s="284"/>
      <c r="R35" s="284"/>
      <c r="S35" s="324"/>
    </row>
    <row r="36" spans="1:19" ht="19.899999999999999" customHeight="1" x14ac:dyDescent="0.45">
      <c r="A36" s="644" t="str">
        <f>+'PROCESOS Baja'!A362</f>
        <v>Suministro desde Dobladora hasta Premontaje L3</v>
      </c>
      <c r="B36" s="645">
        <f>+'PROCESOS Baja'!L373</f>
        <v>3.3319167460316265E-3</v>
      </c>
      <c r="C36" s="522"/>
      <c r="D36" s="523"/>
      <c r="E36" s="525">
        <f>+'PROCESOS Baja'!M373</f>
        <v>1.6659583730158133E-3</v>
      </c>
      <c r="F36" s="330">
        <v>1</v>
      </c>
      <c r="G36" s="284"/>
      <c r="H36" s="331"/>
      <c r="I36" s="284"/>
      <c r="J36" s="284"/>
      <c r="K36" s="331"/>
      <c r="L36" s="330"/>
      <c r="M36" s="479"/>
      <c r="N36" s="284"/>
      <c r="O36" s="284"/>
      <c r="P36" s="284"/>
      <c r="Q36" s="284"/>
      <c r="R36" s="284"/>
      <c r="S36" s="324"/>
    </row>
    <row r="37" spans="1:19" ht="19.899999999999999" customHeight="1" x14ac:dyDescent="0.45">
      <c r="A37" s="651" t="str">
        <f>+'PROCESOS Baja'!A398</f>
        <v>Suministro MADERA a Premontaje (altas y bajas) L1</v>
      </c>
      <c r="B37" s="652">
        <f>+'PROCESOS Baja'!L406</f>
        <v>0.1146404824414716</v>
      </c>
      <c r="C37" s="522"/>
      <c r="D37" s="523"/>
      <c r="E37" s="525">
        <f>+'PROCESOS Baja'!M406</f>
        <v>5.7320241220735799E-2</v>
      </c>
      <c r="F37" s="330"/>
      <c r="G37" s="284"/>
      <c r="H37" s="331"/>
      <c r="I37" s="284"/>
      <c r="J37" s="284"/>
      <c r="K37" s="331"/>
      <c r="L37" s="284"/>
      <c r="M37" s="330"/>
      <c r="N37" s="284"/>
      <c r="O37" s="284"/>
      <c r="P37" s="284"/>
      <c r="Q37" s="284"/>
      <c r="R37" s="284"/>
      <c r="S37" s="324"/>
    </row>
    <row r="38" spans="1:19" ht="19.899999999999999" customHeight="1" x14ac:dyDescent="0.45">
      <c r="A38" s="651" t="str">
        <f>+'PROCESOS Baja'!A408</f>
        <v>Suministro MADERA a Premontaje (altas y bajas) L2/3</v>
      </c>
      <c r="B38" s="652">
        <f>+'PROCESOS Baja'!L416</f>
        <v>6.8769610785953186E-2</v>
      </c>
      <c r="C38" s="522"/>
      <c r="D38" s="523"/>
      <c r="E38" s="525">
        <f>+'PROCESOS Baja'!M416</f>
        <v>3.4384805392976593E-2</v>
      </c>
      <c r="F38" s="330"/>
      <c r="G38" s="284"/>
      <c r="H38" s="331"/>
      <c r="I38" s="284"/>
      <c r="J38" s="284"/>
      <c r="K38" s="331"/>
      <c r="L38" s="284"/>
      <c r="M38" s="330"/>
      <c r="N38" s="284"/>
      <c r="O38" s="284"/>
      <c r="P38" s="284"/>
      <c r="Q38" s="284"/>
      <c r="R38" s="284"/>
      <c r="S38" s="324"/>
    </row>
    <row r="39" spans="1:19" ht="19.899999999999999" customHeight="1" x14ac:dyDescent="0.45">
      <c r="A39" s="601" t="str">
        <f>+'PROCESOS Baja'!A418</f>
        <v>Suministro de Armazones desde almacén automático hasta Armazones</v>
      </c>
      <c r="B39" s="602">
        <f>+'PROCESOS Baja'!L423</f>
        <v>4.285733065774805E-2</v>
      </c>
      <c r="C39" s="522"/>
      <c r="D39" s="523"/>
      <c r="E39" s="525">
        <f>+'PROCESOS Baja'!M423</f>
        <v>2.1428665328874025E-2</v>
      </c>
      <c r="F39" s="330"/>
      <c r="G39" s="284"/>
      <c r="H39" s="331"/>
      <c r="I39" s="284"/>
      <c r="J39" s="284"/>
      <c r="K39" s="331"/>
      <c r="L39" s="284"/>
      <c r="M39" s="330"/>
      <c r="N39" s="284"/>
      <c r="O39" s="284"/>
      <c r="P39" s="284"/>
      <c r="Q39" s="284"/>
      <c r="R39" s="284"/>
      <c r="S39" s="324"/>
    </row>
    <row r="40" spans="1:19" ht="19.899999999999999" customHeight="1" x14ac:dyDescent="0.45">
      <c r="A40" s="651" t="str">
        <f>+'PROCESOS Baja'!A425</f>
        <v>Suministro armazones bajas desde armazones hasta estanteria exterior</v>
      </c>
      <c r="B40" s="652">
        <f>+'PROCESOS Baja'!L429</f>
        <v>9.4378468970642906E-2</v>
      </c>
      <c r="C40" s="522"/>
      <c r="D40" s="523"/>
      <c r="E40" s="525">
        <f>+'PROCESOS Baja'!M429</f>
        <v>4.7189234485321453E-2</v>
      </c>
      <c r="F40" s="330"/>
      <c r="G40" s="284"/>
      <c r="H40" s="331"/>
      <c r="I40" s="284"/>
      <c r="J40" s="284"/>
      <c r="K40" s="331"/>
      <c r="L40" s="284"/>
      <c r="M40" s="330"/>
      <c r="N40" s="284"/>
      <c r="O40" s="284"/>
      <c r="P40" s="284"/>
      <c r="Q40" s="284"/>
      <c r="R40" s="284"/>
      <c r="S40" s="324"/>
    </row>
    <row r="41" spans="1:19" ht="19.899999999999999" customHeight="1" thickBot="1" x14ac:dyDescent="0.5">
      <c r="A41" s="651" t="str">
        <f>+'PROCESOS Baja'!A431</f>
        <v>Suministro de armazones desde estantería exterior hasta premontaje bajas</v>
      </c>
      <c r="B41" s="652">
        <f>+'PROCESOS Baja'!L437</f>
        <v>0.14852726681531031</v>
      </c>
      <c r="C41" s="522"/>
      <c r="D41" s="523"/>
      <c r="E41" s="525">
        <f>+'PROCESOS Baja'!M437</f>
        <v>7.4263633407655155E-2</v>
      </c>
      <c r="F41" s="330"/>
      <c r="G41" s="284"/>
      <c r="H41" s="331"/>
      <c r="I41" s="284"/>
      <c r="J41" s="284"/>
      <c r="K41" s="331"/>
      <c r="L41" s="284"/>
      <c r="M41" s="330"/>
      <c r="N41" s="284"/>
      <c r="O41" s="284"/>
      <c r="P41" s="284"/>
      <c r="Q41" s="284"/>
      <c r="R41" s="284"/>
      <c r="S41" s="324"/>
    </row>
    <row r="42" spans="1:19" ht="19.899999999999999" customHeight="1" x14ac:dyDescent="0.45">
      <c r="A42" s="541" t="s">
        <v>663</v>
      </c>
      <c r="B42" s="526"/>
      <c r="C42" s="384"/>
      <c r="D42" s="527"/>
      <c r="E42" s="528"/>
      <c r="F42" s="385"/>
      <c r="G42" s="386"/>
      <c r="H42" s="387"/>
      <c r="I42" s="386"/>
      <c r="J42" s="386"/>
      <c r="K42" s="387"/>
      <c r="L42" s="386"/>
      <c r="M42" s="385"/>
      <c r="N42" s="386"/>
      <c r="O42" s="386"/>
      <c r="P42" s="386"/>
      <c r="Q42" s="386"/>
      <c r="R42" s="386"/>
      <c r="S42" s="388"/>
    </row>
    <row r="43" spans="1:19" ht="19.899999999999999" customHeight="1" x14ac:dyDescent="0.45">
      <c r="A43" s="585" t="str">
        <f>+'PROCESOS Baja'!A520</f>
        <v>Llevar envolventes a mecanizado</v>
      </c>
      <c r="B43" s="587">
        <f>+'PROCESOS Baja'!L527</f>
        <v>0.11288414506688965</v>
      </c>
      <c r="C43" s="232"/>
      <c r="D43" s="529"/>
      <c r="E43" s="524">
        <f>+'PROCESOS Baja'!M527</f>
        <v>5.6442072533444826E-2</v>
      </c>
      <c r="F43" s="321"/>
      <c r="G43" s="320"/>
      <c r="H43" s="328"/>
      <c r="I43" s="320"/>
      <c r="J43" s="320"/>
      <c r="K43" s="328"/>
      <c r="L43" s="320"/>
      <c r="M43" s="321"/>
      <c r="N43" s="320"/>
      <c r="O43" s="320"/>
      <c r="P43" s="320"/>
      <c r="Q43" s="320"/>
      <c r="R43" s="320"/>
      <c r="S43" s="323"/>
    </row>
    <row r="44" spans="1:19" ht="19.899999999999999" customHeight="1" x14ac:dyDescent="0.45">
      <c r="A44" s="573" t="str">
        <f>+'PROCESOS Baja'!A511</f>
        <v>Secuenciado de envolventes</v>
      </c>
      <c r="B44" s="641">
        <f>+'PROCESOS Baja'!L518</f>
        <v>0.34010006270903004</v>
      </c>
      <c r="C44" s="232">
        <v>2</v>
      </c>
      <c r="D44" s="529" t="e">
        <f>(B43+B44+B45+B46+B47+B48+B49+#REF!)/C44</f>
        <v>#REF!</v>
      </c>
      <c r="E44" s="524">
        <f>+'PROCESOS Baja'!M518</f>
        <v>2.4024456521739131E-2</v>
      </c>
      <c r="F44" s="321"/>
      <c r="G44" s="320"/>
      <c r="H44" s="328"/>
      <c r="I44" s="320"/>
      <c r="J44" s="320"/>
      <c r="K44" s="328"/>
      <c r="L44" s="320"/>
      <c r="M44" s="321"/>
      <c r="N44" s="320"/>
      <c r="O44" s="320"/>
      <c r="P44" s="320"/>
      <c r="Q44" s="320"/>
      <c r="R44" s="320"/>
      <c r="S44" s="323"/>
    </row>
    <row r="45" spans="1:19" ht="19.899999999999999" customHeight="1" x14ac:dyDescent="0.45">
      <c r="A45" s="653" t="str">
        <f>+'PROCESOS Baja'!A529</f>
        <v>Producto acabado de Tubos para almacén y producto terminado</v>
      </c>
      <c r="B45" s="654">
        <f>+'PROCESOS Baja'!L536</f>
        <v>6.612836770717205E-2</v>
      </c>
      <c r="C45" s="232"/>
      <c r="D45" s="529"/>
      <c r="E45" s="524">
        <f>+'PROCESOS Baja'!M536</f>
        <v>3.3064183853586025E-2</v>
      </c>
      <c r="F45" s="321"/>
      <c r="G45" s="320"/>
      <c r="H45" s="328"/>
      <c r="I45" s="320"/>
      <c r="J45" s="320"/>
      <c r="K45" s="328"/>
      <c r="L45" s="320"/>
      <c r="M45" s="321"/>
      <c r="N45" s="320"/>
      <c r="O45" s="320"/>
      <c r="P45" s="320"/>
      <c r="Q45" s="320"/>
      <c r="R45" s="320"/>
      <c r="S45" s="323"/>
    </row>
    <row r="46" spans="1:19" ht="19.899999999999999" customHeight="1" x14ac:dyDescent="0.45">
      <c r="A46" s="646" t="str">
        <f>+'PROCESOS Baja'!A478</f>
        <v>Coger máquina de L2/L3 para llevar a montacargas</v>
      </c>
      <c r="B46" s="647">
        <f>+'PROCESOS Baja'!L483</f>
        <v>8.3137135358602759E-2</v>
      </c>
      <c r="C46" s="232"/>
      <c r="D46" s="529"/>
      <c r="E46" s="524">
        <f>+'PROCESOS Baja'!M483</f>
        <v>4.156856767930138E-2</v>
      </c>
      <c r="F46" s="321">
        <v>1</v>
      </c>
      <c r="G46" s="445" t="e">
        <f>+(#REF!+E43+E44+E45+E46+E47+E49+E55)/F46</f>
        <v>#REF!</v>
      </c>
      <c r="H46" s="328"/>
      <c r="I46" s="320"/>
      <c r="J46" s="320"/>
      <c r="K46" s="328"/>
      <c r="L46" s="320"/>
      <c r="M46" s="321"/>
      <c r="N46" s="320"/>
      <c r="O46" s="320"/>
      <c r="P46" s="320"/>
      <c r="Q46" s="320"/>
      <c r="R46" s="320"/>
      <c r="S46" s="323"/>
    </row>
    <row r="47" spans="1:19" ht="19.899999999999999" customHeight="1" x14ac:dyDescent="0.45">
      <c r="A47" s="653" t="str">
        <f>+'PROCESOS Baja'!A492</f>
        <v>Coger zocalos y KITs y meterlos en ascensor</v>
      </c>
      <c r="B47" s="654">
        <f>+'PROCESOS Baja'!L497</f>
        <v>3.3698773690078038E-2</v>
      </c>
      <c r="C47" s="232"/>
      <c r="D47" s="529"/>
      <c r="E47" s="524">
        <f>+'PROCESOS Baja'!M497</f>
        <v>1.6849386845039019E-2</v>
      </c>
      <c r="F47" s="321"/>
      <c r="G47" s="320"/>
      <c r="H47" s="328"/>
      <c r="I47" s="320"/>
      <c r="J47" s="320"/>
      <c r="K47" s="328"/>
      <c r="L47" s="320"/>
      <c r="M47" s="321"/>
      <c r="N47" s="320"/>
      <c r="O47" s="320"/>
      <c r="P47" s="320"/>
      <c r="Q47" s="320"/>
      <c r="R47" s="320"/>
      <c r="S47" s="323"/>
    </row>
    <row r="48" spans="1:19" ht="19.899999999999999" customHeight="1" x14ac:dyDescent="0.45">
      <c r="A48" s="653" t="str">
        <f>+'PROCESOS Baja'!A499</f>
        <v>Coger máquina de L3 y sacar a la calle</v>
      </c>
      <c r="B48" s="654">
        <f>+'PROCESOS Baja'!L509</f>
        <v>1.2545127276105536E-2</v>
      </c>
      <c r="C48" s="232"/>
      <c r="D48" s="529"/>
      <c r="E48" s="524">
        <f>+'PROCESOS Baja'!M509</f>
        <v>6.2725636380527678E-3</v>
      </c>
      <c r="F48" s="321"/>
      <c r="G48" s="320"/>
      <c r="H48" s="328"/>
      <c r="I48" s="320"/>
      <c r="J48" s="320"/>
      <c r="K48" s="328"/>
      <c r="L48" s="320"/>
      <c r="M48" s="321"/>
      <c r="N48" s="320"/>
      <c r="O48" s="320"/>
      <c r="P48" s="320"/>
      <c r="Q48" s="320"/>
      <c r="R48" s="320"/>
      <c r="S48" s="323"/>
    </row>
    <row r="49" spans="1:19" ht="19.899999999999999" customHeight="1" x14ac:dyDescent="0.45">
      <c r="A49" s="653" t="str">
        <f>+'PROCESOS Baja'!A485</f>
        <v>Coger máquina L2 y llevarla a Calidad</v>
      </c>
      <c r="B49" s="655">
        <f>+'PROCESOS Baja'!L490</f>
        <v>4.1849684132292831E-3</v>
      </c>
      <c r="C49" s="232"/>
      <c r="D49" s="529"/>
      <c r="E49" s="530">
        <f>+'PROCESOS Baja'!M490</f>
        <v>2.0924842066146416E-3</v>
      </c>
      <c r="F49" s="321"/>
      <c r="G49" s="320"/>
      <c r="H49" s="328"/>
      <c r="I49" s="320"/>
      <c r="J49" s="320"/>
      <c r="K49" s="328"/>
      <c r="L49" s="320"/>
      <c r="M49" s="321"/>
      <c r="N49" s="320"/>
      <c r="O49" s="320"/>
      <c r="P49" s="320"/>
      <c r="Q49" s="320"/>
      <c r="R49" s="320"/>
      <c r="S49" s="323"/>
    </row>
    <row r="50" spans="1:19" ht="19.899999999999999" customHeight="1" x14ac:dyDescent="0.45">
      <c r="A50" s="585" t="str">
        <f>+'PROCESOS Baja'!A232</f>
        <v>Coger componentes desubicados en playa de salida y ordenarlos para suministro ordenado a línea L1/L2</v>
      </c>
      <c r="B50" s="587">
        <f>+'PROCESOS Baja'!L236</f>
        <v>0.2111707018115942</v>
      </c>
      <c r="C50" s="232"/>
      <c r="D50" s="529"/>
      <c r="E50" s="524"/>
      <c r="F50" s="321"/>
      <c r="G50" s="320"/>
      <c r="H50" s="328"/>
      <c r="I50" s="320"/>
      <c r="J50" s="320"/>
      <c r="K50" s="328"/>
      <c r="L50" s="320"/>
      <c r="M50" s="321"/>
      <c r="N50" s="320"/>
      <c r="O50" s="320"/>
      <c r="P50" s="320"/>
      <c r="Q50" s="320"/>
      <c r="R50" s="320"/>
      <c r="S50" s="323"/>
    </row>
    <row r="51" spans="1:19" ht="19.899999999999999" customHeight="1" x14ac:dyDescent="0.45">
      <c r="A51" s="598" t="str">
        <f>+'PROCESOS Baja'!A375</f>
        <v>Coger material del almacén automático/exterior y dejarlo en dobladoras</v>
      </c>
      <c r="B51" s="599">
        <f>+'PROCESOS Baja'!L396</f>
        <v>0.90088789523533852</v>
      </c>
      <c r="C51" s="232">
        <v>2</v>
      </c>
      <c r="D51" s="529">
        <f>+(B51+B52)/C51</f>
        <v>0.5549094180837556</v>
      </c>
      <c r="E51" s="524"/>
      <c r="F51" s="321"/>
      <c r="G51" s="320"/>
      <c r="H51" s="328"/>
      <c r="I51" s="320"/>
      <c r="J51" s="320"/>
      <c r="K51" s="328"/>
      <c r="L51" s="320"/>
      <c r="M51" s="321"/>
      <c r="N51" s="446">
        <f>+'PROCESOS Baja'!O396</f>
        <v>0.45044394761766926</v>
      </c>
      <c r="O51" s="447">
        <v>1</v>
      </c>
      <c r="P51" s="366">
        <f>+(N51+N52)/O51</f>
        <v>0.5549094180837556</v>
      </c>
      <c r="Q51" s="320"/>
      <c r="R51" s="320"/>
      <c r="S51" s="323"/>
    </row>
    <row r="52" spans="1:19" ht="19.899999999999999" customHeight="1" x14ac:dyDescent="0.45">
      <c r="A52" s="598" t="str">
        <f>+'PROCESOS Baja'!A538</f>
        <v>Mover contenedores chapa 2D entre diferentes máquinas de Chapa (dobladora, 3D, prensa…)</v>
      </c>
      <c r="B52" s="600">
        <f>+'PROCESOS Baja'!L544</f>
        <v>0.2089309409321726</v>
      </c>
      <c r="C52" s="232"/>
      <c r="D52" s="529"/>
      <c r="E52" s="524"/>
      <c r="F52" s="321"/>
      <c r="G52" s="320"/>
      <c r="H52" s="448"/>
      <c r="I52" s="320"/>
      <c r="J52" s="320"/>
      <c r="K52" s="328"/>
      <c r="L52" s="320"/>
      <c r="M52" s="321"/>
      <c r="N52" s="328">
        <f>+'PROCESOS Baja'!O544</f>
        <v>0.1044654704660863</v>
      </c>
      <c r="O52" s="320"/>
      <c r="P52" s="320"/>
      <c r="Q52" s="320"/>
      <c r="R52" s="320"/>
      <c r="S52" s="323"/>
    </row>
    <row r="53" spans="1:19" ht="19.899999999999999" customHeight="1" x14ac:dyDescent="0.45">
      <c r="A53" s="573" t="str">
        <f>+'PROCESOS Baja'!A440</f>
        <v>Picking secuenciado dentro de Sidreria L1</v>
      </c>
      <c r="B53" s="574">
        <f>+'PROCESOS Baja'!L446</f>
        <v>1.8289094202898548</v>
      </c>
      <c r="C53" s="531">
        <v>4</v>
      </c>
      <c r="D53" s="532">
        <f>(+B53+B54)/C53</f>
        <v>0.64530452898550716</v>
      </c>
      <c r="E53" s="524"/>
      <c r="F53" s="321"/>
      <c r="G53" s="320"/>
      <c r="H53" s="328"/>
      <c r="I53" s="320"/>
      <c r="J53" s="320"/>
      <c r="K53" s="328"/>
      <c r="L53" s="320"/>
      <c r="M53" s="320"/>
      <c r="N53" s="320"/>
      <c r="O53" s="320"/>
      <c r="P53" s="320"/>
      <c r="Q53" s="320"/>
      <c r="R53" s="320"/>
      <c r="S53" s="323"/>
    </row>
    <row r="54" spans="1:19" ht="19.899999999999999" customHeight="1" x14ac:dyDescent="0.45">
      <c r="A54" s="573" t="str">
        <f>+'PROCESOS Baja'!A448</f>
        <v>Picking secuenciado dentro de Sidreria L2</v>
      </c>
      <c r="B54" s="574">
        <f>+'PROCESOS Baja'!L454</f>
        <v>0.75230869565217395</v>
      </c>
      <c r="C54" s="531"/>
      <c r="D54" s="532"/>
      <c r="E54" s="524"/>
      <c r="F54" s="321"/>
      <c r="G54" s="320"/>
      <c r="H54" s="328"/>
      <c r="I54" s="320"/>
      <c r="J54" s="320"/>
      <c r="K54" s="328"/>
      <c r="L54" s="320"/>
      <c r="M54" s="320"/>
      <c r="N54" s="320"/>
      <c r="O54" s="320"/>
      <c r="P54" s="320"/>
      <c r="Q54" s="320"/>
      <c r="R54" s="320"/>
      <c r="S54" s="323"/>
    </row>
    <row r="55" spans="1:19" ht="19.899999999999999" customHeight="1" x14ac:dyDescent="0.45">
      <c r="A55" s="646" t="str">
        <f>+'PROCESOS Baja'!A456</f>
        <v>Recogida material de SAT (premontajes/Sidreria)</v>
      </c>
      <c r="B55" s="647">
        <f>+'PROCESOS Baja'!L463</f>
        <v>0.45458698605860115</v>
      </c>
      <c r="C55" s="232"/>
      <c r="D55" s="529"/>
      <c r="E55" s="524">
        <f>+'PROCESOS Baja'!M463</f>
        <v>0.22729349302930058</v>
      </c>
      <c r="F55" s="321"/>
      <c r="G55" s="320"/>
      <c r="H55" s="328"/>
      <c r="I55" s="320"/>
      <c r="J55" s="320"/>
      <c r="K55" s="328"/>
      <c r="L55" s="320"/>
      <c r="M55" s="320"/>
      <c r="N55" s="320"/>
      <c r="O55" s="320"/>
      <c r="P55" s="320"/>
      <c r="Q55" s="320"/>
      <c r="R55" s="320"/>
      <c r="S55" s="323"/>
    </row>
    <row r="56" spans="1:19" ht="19.899999999999999" customHeight="1" x14ac:dyDescent="0.45">
      <c r="A56" s="601" t="str">
        <f>+'PROCESOS Baja'!A546</f>
        <v>Sacar cercos (cajas vacías) de chapa desde Dobladora a zona exterior (Residuos)</v>
      </c>
      <c r="B56" s="602">
        <f>+'PROCESOS Baja'!L550</f>
        <v>0.34446588321791394</v>
      </c>
      <c r="C56" s="533"/>
      <c r="D56" s="534"/>
      <c r="E56" s="525"/>
      <c r="F56" s="330"/>
      <c r="G56" s="284"/>
      <c r="H56" s="284"/>
      <c r="I56" s="284"/>
      <c r="J56" s="284"/>
      <c r="K56" s="284"/>
      <c r="L56" s="284"/>
      <c r="M56" s="284"/>
      <c r="N56" s="331">
        <f>+'PROCESOS Baja'!O550</f>
        <v>0.17223294160895697</v>
      </c>
      <c r="O56" s="284"/>
      <c r="P56" s="284"/>
      <c r="Q56" s="284"/>
      <c r="R56" s="284"/>
      <c r="S56" s="324"/>
    </row>
    <row r="57" spans="1:19" ht="19.899999999999999" customHeight="1" x14ac:dyDescent="0.45">
      <c r="A57" s="651" t="str">
        <f>+'PROCESOS Baja'!A552</f>
        <v>Cargar máquinas en el camión</v>
      </c>
      <c r="B57" s="652">
        <f>+'PROCESOS Baja'!L559</f>
        <v>1.9047473058342621E-2</v>
      </c>
      <c r="C57" s="669">
        <v>2</v>
      </c>
      <c r="D57" s="534"/>
      <c r="E57" s="525">
        <f>+'PROCESOS Baja'!M559</f>
        <v>9.5237365291713106E-3</v>
      </c>
      <c r="F57" s="330"/>
      <c r="G57" s="284"/>
      <c r="H57" s="284"/>
      <c r="I57" s="284"/>
      <c r="J57" s="284"/>
      <c r="K57" s="284"/>
      <c r="L57" s="284"/>
      <c r="M57" s="284"/>
      <c r="N57" s="331"/>
      <c r="O57" s="284"/>
      <c r="P57" s="284"/>
      <c r="Q57" s="284"/>
      <c r="R57" s="284"/>
      <c r="S57" s="324"/>
    </row>
    <row r="58" spans="1:19" ht="19.899999999999999" customHeight="1" x14ac:dyDescent="0.45">
      <c r="A58" s="651" t="str">
        <f>+'PROCESOS Baja'!A561</f>
        <v>Recepción material de chapa 2D tamaño grande (no entra en almacén automático) y carga de vacíos chapa</v>
      </c>
      <c r="B58" s="652">
        <f>+'PROCESOS Baja'!L577</f>
        <v>0.20506012399581394</v>
      </c>
      <c r="C58" s="533"/>
      <c r="D58" s="534"/>
      <c r="E58" s="525">
        <f>+'PROCESOS Baja'!M577</f>
        <v>0.10253006199790697</v>
      </c>
      <c r="F58" s="330"/>
      <c r="G58" s="284"/>
      <c r="H58" s="284"/>
      <c r="I58" s="284"/>
      <c r="J58" s="284"/>
      <c r="K58" s="284"/>
      <c r="L58" s="284"/>
      <c r="M58" s="284"/>
      <c r="N58" s="331"/>
      <c r="O58" s="284"/>
      <c r="P58" s="284"/>
      <c r="Q58" s="284"/>
      <c r="R58" s="284"/>
      <c r="S58" s="324"/>
    </row>
    <row r="59" spans="1:19" ht="19.899999999999999" customHeight="1" x14ac:dyDescent="0.45">
      <c r="A59" s="651" t="str">
        <f>+'PROCESOS Baja'!A579</f>
        <v>Devolución componentes rechazados por Calidad</v>
      </c>
      <c r="B59" s="652">
        <f>+'PROCESOS Baja'!L586</f>
        <v>4.2436361947231514E-2</v>
      </c>
      <c r="C59" s="533"/>
      <c r="D59" s="534"/>
      <c r="E59" s="525">
        <f>+'PROCESOS Baja'!M586</f>
        <v>2.1218180973615757E-2</v>
      </c>
      <c r="F59" s="330"/>
      <c r="G59" s="284"/>
      <c r="H59" s="284"/>
      <c r="I59" s="284"/>
      <c r="J59" s="284"/>
      <c r="K59" s="284"/>
      <c r="L59" s="284"/>
      <c r="M59" s="284"/>
      <c r="N59" s="331"/>
      <c r="O59" s="284"/>
      <c r="P59" s="284"/>
      <c r="Q59" s="284"/>
      <c r="R59" s="284"/>
      <c r="S59" s="324"/>
    </row>
    <row r="60" spans="1:19" ht="19.899999999999999" customHeight="1" x14ac:dyDescent="0.45">
      <c r="A60" s="651" t="str">
        <f>+'PROCESOS Baja'!A588</f>
        <v>Tirar chatarra a Residuos</v>
      </c>
      <c r="B60" s="652">
        <f>+'PROCESOS Baja'!L595</f>
        <v>6.1698950204384991E-2</v>
      </c>
      <c r="C60" s="533"/>
      <c r="D60" s="534"/>
      <c r="E60" s="525">
        <f>+'PROCESOS Baja'!M595</f>
        <v>3.0849475102192495E-2</v>
      </c>
      <c r="F60" s="330"/>
      <c r="G60" s="284"/>
      <c r="H60" s="284"/>
      <c r="I60" s="284"/>
      <c r="J60" s="284"/>
      <c r="K60" s="284"/>
      <c r="L60" s="284"/>
      <c r="M60" s="284"/>
      <c r="N60" s="331"/>
      <c r="O60" s="284"/>
      <c r="P60" s="284"/>
      <c r="Q60" s="284"/>
      <c r="R60" s="284"/>
      <c r="S60" s="324"/>
    </row>
    <row r="61" spans="1:19" ht="19.899999999999999" customHeight="1" x14ac:dyDescent="0.45">
      <c r="A61" s="651" t="str">
        <f>+'PROCESOS Baja'!A597</f>
        <v>Coger material del montacargas y dejarlo en Ubicación almacén material 3D interno</v>
      </c>
      <c r="B61" s="652">
        <f>+'PROCESOS Baja'!L602</f>
        <v>3.5885126347082871E-3</v>
      </c>
      <c r="C61" s="533"/>
      <c r="D61" s="534"/>
      <c r="E61" s="525">
        <f>+'PROCESOS Baja'!M602</f>
        <v>1.7942563173541435E-3</v>
      </c>
      <c r="F61" s="330"/>
      <c r="G61" s="284"/>
      <c r="H61" s="284"/>
      <c r="I61" s="284"/>
      <c r="J61" s="284"/>
      <c r="K61" s="284"/>
      <c r="L61" s="284"/>
      <c r="M61" s="284"/>
      <c r="N61" s="331"/>
      <c r="O61" s="284"/>
      <c r="P61" s="284"/>
      <c r="Q61" s="284"/>
      <c r="R61" s="284"/>
      <c r="S61" s="324"/>
    </row>
    <row r="62" spans="1:19" ht="19.899999999999999" customHeight="1" x14ac:dyDescent="0.45">
      <c r="A62" s="644" t="str">
        <f>+'PROCESOS Baja'!A604</f>
        <v>Llevar chapa 3D pasando por diferentes máquinas de chapa (prensa, dobladora, 3D…) en almacén central. Chapa &gt; Playa Almacén</v>
      </c>
      <c r="B62" s="645">
        <f>+'PROCESOS Baja'!L610</f>
        <v>0.22478773582525147</v>
      </c>
      <c r="C62" s="533"/>
      <c r="D62" s="534"/>
      <c r="E62" s="525">
        <f>+'PROCESOS Baja'!M610</f>
        <v>0.11239386791262573</v>
      </c>
      <c r="F62" s="330"/>
      <c r="G62" s="284"/>
      <c r="H62" s="284"/>
      <c r="I62" s="284"/>
      <c r="J62" s="284"/>
      <c r="K62" s="284"/>
      <c r="L62" s="284"/>
      <c r="M62" s="284"/>
      <c r="N62" s="331"/>
      <c r="O62" s="284"/>
      <c r="P62" s="284"/>
      <c r="Q62" s="284"/>
      <c r="R62" s="284"/>
      <c r="S62" s="324"/>
    </row>
    <row r="63" spans="1:19" ht="19.899999999999999" customHeight="1" x14ac:dyDescent="0.45">
      <c r="A63" s="666" t="s">
        <v>1015</v>
      </c>
      <c r="B63" s="667">
        <v>1</v>
      </c>
      <c r="C63" s="669">
        <v>1</v>
      </c>
      <c r="D63" s="534"/>
      <c r="E63" s="525"/>
      <c r="F63" s="330"/>
      <c r="G63" s="284"/>
      <c r="H63" s="284"/>
      <c r="I63" s="284"/>
      <c r="J63" s="284"/>
      <c r="K63" s="284"/>
      <c r="L63" s="284"/>
      <c r="M63" s="284"/>
      <c r="N63" s="331"/>
      <c r="O63" s="284"/>
      <c r="P63" s="284"/>
      <c r="Q63" s="284"/>
      <c r="R63" s="284"/>
      <c r="S63" s="324"/>
    </row>
    <row r="64" spans="1:19" ht="19.899999999999999" customHeight="1" thickBot="1" x14ac:dyDescent="0.5">
      <c r="A64" s="656" t="str">
        <f>+'PROCESOS Baja'!A465</f>
        <v>Reciclaje del material desechable (cartón)</v>
      </c>
      <c r="B64" s="657">
        <f>+'PROCESOS Baja'!L476</f>
        <v>0.61622682088442959</v>
      </c>
      <c r="C64" s="535"/>
      <c r="D64" s="536"/>
      <c r="E64" s="537">
        <f>+'PROCESOS Baja'!M476</f>
        <v>0.3081134104422148</v>
      </c>
      <c r="F64" s="389"/>
      <c r="G64" s="325"/>
      <c r="H64" s="325"/>
      <c r="I64" s="325"/>
      <c r="J64" s="325"/>
      <c r="K64" s="325"/>
      <c r="L64" s="325"/>
      <c r="M64" s="325"/>
      <c r="N64" s="325"/>
      <c r="O64" s="325"/>
      <c r="P64" s="325"/>
      <c r="Q64" s="325"/>
      <c r="R64" s="325"/>
      <c r="S64" s="326"/>
    </row>
    <row r="65" spans="1:20" ht="9" customHeight="1" thickBot="1" x14ac:dyDescent="0.5">
      <c r="B65" s="347"/>
      <c r="C65" s="348"/>
      <c r="D65" s="349"/>
      <c r="E65" s="283"/>
      <c r="F65" s="350"/>
      <c r="G65" s="282"/>
      <c r="H65" s="282"/>
      <c r="I65" s="282"/>
      <c r="J65" s="282"/>
      <c r="K65" s="282"/>
      <c r="L65" s="282"/>
      <c r="M65" s="282"/>
      <c r="N65" s="282"/>
      <c r="O65" s="282"/>
      <c r="P65" s="282"/>
      <c r="Q65" s="282"/>
      <c r="R65" s="282"/>
      <c r="S65" s="282"/>
    </row>
    <row r="66" spans="1:20" ht="27.6" customHeight="1" thickBot="1" x14ac:dyDescent="0.4">
      <c r="A66" s="270" t="s">
        <v>1067</v>
      </c>
      <c r="B66" s="266"/>
      <c r="C66" s="267">
        <f>SUM(C6:C64)</f>
        <v>25</v>
      </c>
      <c r="D66" s="268"/>
      <c r="E66" s="273">
        <f>SUM(E7:E64)</f>
        <v>2.6160362505006978</v>
      </c>
      <c r="F66" s="267">
        <f>SUM(F6:F65)</f>
        <v>4</v>
      </c>
      <c r="G66" s="274">
        <f>+E66/F66</f>
        <v>0.65400906262517444</v>
      </c>
      <c r="H66" s="273">
        <f>SUM(H6:H55)</f>
        <v>0.10284953614548493</v>
      </c>
      <c r="I66" s="267">
        <f>SUM(I6:I65)</f>
        <v>2</v>
      </c>
      <c r="J66" s="274">
        <f>+H66/I66</f>
        <v>5.1424768072742467E-2</v>
      </c>
      <c r="K66" s="275">
        <f>SUM(K6:K55)</f>
        <v>1.9432813144004573</v>
      </c>
      <c r="L66" s="267">
        <f>SUM(L6:L65)</f>
        <v>2</v>
      </c>
      <c r="M66" s="274">
        <f>+K66/L66</f>
        <v>0.97164065720022863</v>
      </c>
      <c r="N66" s="275">
        <f>+N51+N52</f>
        <v>0.5549094180837556</v>
      </c>
      <c r="O66" s="267">
        <f>SUM(O6:O64)</f>
        <v>1</v>
      </c>
      <c r="P66" s="274">
        <f>+N66/O66</f>
        <v>0.5549094180837556</v>
      </c>
      <c r="Q66" s="275">
        <f>+Q18+Q14</f>
        <v>1.3553320333944399</v>
      </c>
      <c r="R66" s="267">
        <f>SUM(R6:R65)</f>
        <v>2</v>
      </c>
      <c r="S66" s="276">
        <f>+Q66/R66</f>
        <v>0.67766601669721993</v>
      </c>
      <c r="T66" s="436">
        <f>+R66+L66+I66+F66+O66</f>
        <v>11</v>
      </c>
    </row>
    <row r="68" spans="1:20" ht="19.899999999999999" customHeight="1" x14ac:dyDescent="0.4">
      <c r="A68" s="650" t="s">
        <v>1014</v>
      </c>
      <c r="Q68" s="119" t="s">
        <v>884</v>
      </c>
    </row>
    <row r="69" spans="1:20" ht="15" x14ac:dyDescent="0.4">
      <c r="A69" s="362" t="s">
        <v>551</v>
      </c>
      <c r="B69" s="282"/>
      <c r="C69" s="282"/>
      <c r="D69" s="282"/>
    </row>
    <row r="70" spans="1:20" ht="21" customHeight="1" x14ac:dyDescent="0.4">
      <c r="A70" s="362"/>
      <c r="B70" s="742" t="s">
        <v>796</v>
      </c>
      <c r="C70" s="742"/>
      <c r="D70" s="742"/>
      <c r="E70" s="743" t="s">
        <v>797</v>
      </c>
      <c r="F70" s="743" t="s">
        <v>798</v>
      </c>
      <c r="G70" s="743" t="s">
        <v>799</v>
      </c>
      <c r="H70" s="743" t="s">
        <v>438</v>
      </c>
      <c r="I70" s="743" t="s">
        <v>800</v>
      </c>
    </row>
    <row r="71" spans="1:20" ht="15" x14ac:dyDescent="0.4">
      <c r="A71" s="362"/>
      <c r="B71" s="426" t="s">
        <v>552</v>
      </c>
      <c r="C71" s="426" t="s">
        <v>553</v>
      </c>
      <c r="D71" s="426" t="s">
        <v>354</v>
      </c>
      <c r="E71" s="744"/>
      <c r="F71" s="744"/>
      <c r="G71" s="744"/>
      <c r="H71" s="744"/>
      <c r="I71" s="744"/>
    </row>
    <row r="72" spans="1:20" ht="18" customHeight="1" x14ac:dyDescent="0.5">
      <c r="A72" s="371" t="s">
        <v>416</v>
      </c>
    </row>
    <row r="73" spans="1:20" ht="15" x14ac:dyDescent="0.4">
      <c r="A73" s="553" t="str">
        <f t="shared" ref="A73:B78" si="0">+A7</f>
        <v>Conventional Reception</v>
      </c>
      <c r="B73" s="331">
        <f t="shared" si="0"/>
        <v>1.1118111202078678</v>
      </c>
      <c r="C73" s="330"/>
      <c r="D73" s="330"/>
      <c r="E73" s="723">
        <f>+F6</f>
        <v>1</v>
      </c>
      <c r="F73" s="726">
        <f>+I6</f>
        <v>1</v>
      </c>
      <c r="G73" s="754"/>
      <c r="H73" s="754"/>
      <c r="I73" s="754"/>
    </row>
    <row r="74" spans="1:20" ht="15" x14ac:dyDescent="0.4">
      <c r="A74" s="554" t="str">
        <f t="shared" si="0"/>
        <v>3D Material Reception</v>
      </c>
      <c r="B74" s="367">
        <f t="shared" si="0"/>
        <v>0.14466890354950759</v>
      </c>
      <c r="C74" s="369"/>
      <c r="D74" s="369"/>
      <c r="E74" s="724"/>
      <c r="F74" s="724"/>
      <c r="G74" s="755"/>
      <c r="H74" s="755"/>
      <c r="I74" s="755"/>
    </row>
    <row r="75" spans="1:20" ht="15" x14ac:dyDescent="0.4">
      <c r="A75" s="554" t="str">
        <f t="shared" si="0"/>
        <v>Load truck with material for KATEA</v>
      </c>
      <c r="B75" s="367">
        <f t="shared" si="0"/>
        <v>4.0260765050167215E-2</v>
      </c>
      <c r="C75" s="369"/>
      <c r="D75" s="369"/>
      <c r="E75" s="724"/>
      <c r="F75" s="724"/>
      <c r="G75" s="755"/>
      <c r="H75" s="755"/>
      <c r="I75" s="755"/>
    </row>
    <row r="76" spans="1:20" ht="15" x14ac:dyDescent="0.4">
      <c r="A76" s="554" t="str">
        <f t="shared" si="0"/>
        <v>Load SAT</v>
      </c>
      <c r="B76" s="367">
        <f t="shared" si="0"/>
        <v>4.722756410256411E-2</v>
      </c>
      <c r="C76" s="369"/>
      <c r="D76" s="369"/>
      <c r="E76" s="724"/>
      <c r="F76" s="724"/>
      <c r="G76" s="755"/>
      <c r="H76" s="755"/>
      <c r="I76" s="755"/>
    </row>
    <row r="77" spans="1:20" ht="15" x14ac:dyDescent="0.4">
      <c r="A77" s="554" t="str">
        <f t="shared" si="0"/>
        <v>Load material for subcontractors and returns to the supplier</v>
      </c>
      <c r="B77" s="367">
        <f t="shared" si="0"/>
        <v>0.1824714673913044</v>
      </c>
      <c r="C77" s="369"/>
      <c r="D77" s="369"/>
      <c r="E77" s="724"/>
      <c r="F77" s="724"/>
      <c r="G77" s="755"/>
      <c r="H77" s="755"/>
      <c r="I77" s="755"/>
    </row>
    <row r="78" spans="1:20" ht="15" x14ac:dyDescent="0.4">
      <c r="A78" s="555" t="str">
        <f t="shared" si="0"/>
        <v>Unload China (temporary, material for the following day)</v>
      </c>
      <c r="B78" s="368">
        <f t="shared" si="0"/>
        <v>0.18107411817168337</v>
      </c>
      <c r="C78" s="333"/>
      <c r="D78" s="333"/>
      <c r="E78" s="725"/>
      <c r="F78" s="725"/>
      <c r="G78" s="756"/>
      <c r="H78" s="756"/>
      <c r="I78" s="756"/>
    </row>
    <row r="79" spans="1:20" ht="15" x14ac:dyDescent="0.4">
      <c r="B79" s="415">
        <f>SUM(B73:B78)</f>
        <v>1.7075139384730944</v>
      </c>
      <c r="C79" s="398">
        <v>2</v>
      </c>
      <c r="D79" s="401">
        <f>+B79/C79</f>
        <v>0.8537569692365472</v>
      </c>
      <c r="E79" s="427">
        <f>+E73</f>
        <v>1</v>
      </c>
      <c r="F79" s="427">
        <f>+F73</f>
        <v>1</v>
      </c>
      <c r="G79" s="422"/>
      <c r="H79" s="422"/>
      <c r="I79" s="422"/>
    </row>
    <row r="80" spans="1:20" ht="15" x14ac:dyDescent="0.4">
      <c r="A80" s="282"/>
      <c r="B80" s="363"/>
      <c r="C80" s="364"/>
      <c r="D80" s="383"/>
    </row>
    <row r="81" spans="1:9" ht="18" customHeight="1" x14ac:dyDescent="0.5">
      <c r="A81" s="371" t="s">
        <v>554</v>
      </c>
      <c r="C81" s="350"/>
      <c r="D81" s="350"/>
    </row>
    <row r="82" spans="1:9" ht="15" x14ac:dyDescent="0.4">
      <c r="A82" s="569" t="s">
        <v>554</v>
      </c>
      <c r="B82" s="328">
        <f>+B13</f>
        <v>1.4345928649386848</v>
      </c>
      <c r="C82" s="321"/>
      <c r="D82" s="321"/>
      <c r="E82" s="422"/>
      <c r="F82" s="429">
        <f>+I13</f>
        <v>1</v>
      </c>
      <c r="G82" s="422"/>
      <c r="H82" s="422"/>
      <c r="I82" s="422"/>
    </row>
    <row r="83" spans="1:9" ht="15" x14ac:dyDescent="0.4">
      <c r="A83" s="282"/>
      <c r="B83" s="372">
        <f>+B82</f>
        <v>1.4345928649386848</v>
      </c>
      <c r="C83" s="370">
        <v>2</v>
      </c>
      <c r="D83" s="373">
        <f>+B83/C83</f>
        <v>0.71729643246934238</v>
      </c>
      <c r="E83" s="422"/>
      <c r="F83" s="427">
        <f>+F82</f>
        <v>1</v>
      </c>
      <c r="G83" s="422"/>
      <c r="H83" s="422"/>
      <c r="I83" s="422"/>
    </row>
    <row r="84" spans="1:9" ht="15" x14ac:dyDescent="0.4">
      <c r="A84" s="282"/>
      <c r="B84" s="363"/>
      <c r="C84" s="364"/>
      <c r="D84" s="383"/>
    </row>
    <row r="85" spans="1:9" ht="18" customHeight="1" x14ac:dyDescent="0.5">
      <c r="A85" s="371" t="s">
        <v>555</v>
      </c>
      <c r="C85" s="361"/>
      <c r="D85" s="361"/>
    </row>
    <row r="86" spans="1:9" ht="15" x14ac:dyDescent="0.4">
      <c r="A86" s="570" t="str">
        <f t="shared" ref="A86:B88" si="1">+A15</f>
        <v>Ubicar cajas de Proveedor desde Recepciones (Proveedor + Chapa 3D+China almacén central)</v>
      </c>
      <c r="B86" s="331">
        <f t="shared" si="1"/>
        <v>1.1796050469074348</v>
      </c>
      <c r="C86" s="330"/>
      <c r="D86" s="330"/>
      <c r="E86" s="727"/>
      <c r="F86" s="727"/>
      <c r="G86" s="727"/>
      <c r="H86" s="727"/>
      <c r="I86" s="720">
        <f>+R14+R18</f>
        <v>2</v>
      </c>
    </row>
    <row r="87" spans="1:9" ht="15" x14ac:dyDescent="0.4">
      <c r="A87" s="571" t="str">
        <f t="shared" si="1"/>
        <v>Ubicar en almacén central chapa 3D pasando por diferentes máquinas de chapa. Playa &gt; Almacén</v>
      </c>
      <c r="B87" s="367">
        <f t="shared" si="1"/>
        <v>0.151329126510971</v>
      </c>
      <c r="C87" s="369"/>
      <c r="D87" s="369"/>
      <c r="E87" s="734"/>
      <c r="F87" s="734"/>
      <c r="G87" s="734"/>
      <c r="H87" s="734"/>
      <c r="I87" s="734"/>
    </row>
    <row r="88" spans="1:9" ht="15" x14ac:dyDescent="0.4">
      <c r="A88" s="571" t="str">
        <f t="shared" si="1"/>
        <v>Ubicar Armazones en Almacén Central desde ubicación alm. material chapa 3D interno</v>
      </c>
      <c r="B88" s="367">
        <f t="shared" si="1"/>
        <v>5.4091694537346715E-3</v>
      </c>
      <c r="C88" s="369"/>
      <c r="D88" s="369"/>
      <c r="E88" s="734"/>
      <c r="F88" s="734"/>
      <c r="G88" s="734"/>
      <c r="H88" s="734"/>
      <c r="I88" s="734"/>
    </row>
    <row r="89" spans="1:9" ht="15" x14ac:dyDescent="0.4">
      <c r="A89" s="571" t="str">
        <f t="shared" ref="A89:B92" si="2">+A19</f>
        <v>Desubicación desde almacén (caótico) a Picking (zona fija) Almacen caótico &gt; Almacén Picking</v>
      </c>
      <c r="B89" s="367">
        <f t="shared" si="2"/>
        <v>0.118542085861204</v>
      </c>
      <c r="C89" s="369"/>
      <c r="D89" s="369"/>
      <c r="E89" s="734"/>
      <c r="F89" s="734"/>
      <c r="G89" s="734"/>
      <c r="H89" s="734"/>
      <c r="I89" s="734"/>
    </row>
    <row r="90" spans="1:9" ht="15" x14ac:dyDescent="0.4">
      <c r="A90" s="571" t="str">
        <f t="shared" si="2"/>
        <v>Desubicación cajas componentes kanban a premontajes/"Sidreria" Almacén &gt; Playa</v>
      </c>
      <c r="B90" s="367">
        <f t="shared" si="2"/>
        <v>0.75563247175094517</v>
      </c>
      <c r="C90" s="369"/>
      <c r="D90" s="369"/>
      <c r="E90" s="734"/>
      <c r="F90" s="734"/>
      <c r="G90" s="734"/>
      <c r="H90" s="734"/>
      <c r="I90" s="734"/>
    </row>
    <row r="91" spans="1:9" ht="15" x14ac:dyDescent="0.4">
      <c r="A91" s="571" t="str">
        <f t="shared" si="2"/>
        <v>Desubicar Chapa del almacén central hacia premontajes (3D  y Chapa ) Almacén &gt; Playa</v>
      </c>
      <c r="B91" s="367">
        <f t="shared" si="2"/>
        <v>0.32266439372933942</v>
      </c>
      <c r="C91" s="369"/>
      <c r="D91" s="369"/>
      <c r="E91" s="734"/>
      <c r="F91" s="734"/>
      <c r="G91" s="734"/>
      <c r="H91" s="734"/>
      <c r="I91" s="734"/>
    </row>
    <row r="92" spans="1:9" ht="15" x14ac:dyDescent="0.4">
      <c r="A92" s="572" t="str">
        <f t="shared" si="2"/>
        <v>Desubicar China del Almacén central hacía premontajes. Almacén &gt; Playa</v>
      </c>
      <c r="B92" s="367">
        <f t="shared" si="2"/>
        <v>0.19533839595148075</v>
      </c>
      <c r="C92" s="369"/>
      <c r="D92" s="369"/>
      <c r="E92" s="734"/>
      <c r="F92" s="734"/>
      <c r="G92" s="734"/>
      <c r="H92" s="734"/>
      <c r="I92" s="734"/>
    </row>
    <row r="93" spans="1:9" ht="15" x14ac:dyDescent="0.4">
      <c r="A93" s="282"/>
      <c r="B93" s="372">
        <f>SUM(B86:B92)</f>
        <v>2.72852069016511</v>
      </c>
      <c r="C93" s="370">
        <v>4</v>
      </c>
      <c r="D93" s="373">
        <f>+B93/C93</f>
        <v>0.6821301725412775</v>
      </c>
      <c r="E93" s="320"/>
      <c r="F93" s="320"/>
      <c r="G93" s="320"/>
      <c r="H93" s="320"/>
      <c r="I93" s="428">
        <f>+I86</f>
        <v>2</v>
      </c>
    </row>
    <row r="94" spans="1:9" ht="15" x14ac:dyDescent="0.4">
      <c r="A94" s="282"/>
      <c r="B94" s="363"/>
      <c r="C94" s="364"/>
      <c r="D94" s="383"/>
      <c r="E94" s="282"/>
    </row>
    <row r="95" spans="1:9" ht="16.899999999999999" x14ac:dyDescent="0.5">
      <c r="A95" s="576" t="s">
        <v>1009</v>
      </c>
      <c r="B95" s="363"/>
      <c r="C95" s="364"/>
      <c r="D95" s="383"/>
      <c r="E95" s="282"/>
    </row>
    <row r="96" spans="1:9" ht="15" x14ac:dyDescent="0.4">
      <c r="A96" s="595" t="str">
        <f t="shared" ref="A96:B98" si="3">+A26</f>
        <v>Cajas desde Playa hasta premontajes/Sidreria L1/L2</v>
      </c>
      <c r="B96" s="589">
        <f t="shared" si="3"/>
        <v>0.61687148914431966</v>
      </c>
      <c r="C96" s="590"/>
      <c r="D96" s="399"/>
      <c r="E96" s="727">
        <v>1</v>
      </c>
      <c r="F96" s="729"/>
      <c r="G96" s="729"/>
      <c r="H96" s="729"/>
      <c r="I96" s="729"/>
    </row>
    <row r="97" spans="1:10" ht="15" x14ac:dyDescent="0.4">
      <c r="A97" s="596" t="str">
        <f t="shared" si="3"/>
        <v>CHAPA desde la playa de salida hasta los premontajes Todo</v>
      </c>
      <c r="B97" s="591">
        <f t="shared" si="3"/>
        <v>0.59717711922349681</v>
      </c>
      <c r="C97" s="593"/>
      <c r="D97" s="400"/>
      <c r="E97" s="734"/>
      <c r="F97" s="735"/>
      <c r="G97" s="735"/>
      <c r="H97" s="735"/>
      <c r="I97" s="735"/>
    </row>
    <row r="98" spans="1:10" ht="15" x14ac:dyDescent="0.4">
      <c r="A98" s="596" t="str">
        <f t="shared" si="3"/>
        <v>CHINA desde playa de salida hasta los premontajes L1/L2</v>
      </c>
      <c r="B98" s="591">
        <f t="shared" si="3"/>
        <v>0.11733963062058711</v>
      </c>
      <c r="C98" s="593"/>
      <c r="D98" s="400"/>
      <c r="E98" s="734"/>
      <c r="F98" s="735"/>
      <c r="G98" s="735"/>
      <c r="H98" s="735"/>
      <c r="I98" s="735"/>
    </row>
    <row r="99" spans="1:10" ht="15" x14ac:dyDescent="0.4">
      <c r="A99" s="596" t="str">
        <f>+A43</f>
        <v>Llevar envolventes a mecanizado</v>
      </c>
      <c r="B99" s="588">
        <f>+B43</f>
        <v>0.11288414506688965</v>
      </c>
      <c r="C99" s="593"/>
      <c r="D99" s="400"/>
      <c r="E99" s="734"/>
      <c r="F99" s="735"/>
      <c r="G99" s="735"/>
      <c r="H99" s="735"/>
      <c r="I99" s="735"/>
    </row>
    <row r="100" spans="1:10" ht="15" x14ac:dyDescent="0.4">
      <c r="A100" s="596" t="str">
        <f>+A29</f>
        <v>Cajas componentes y CHINA desde Playa de salida hasta Linea 3. SOLO MAÑANA</v>
      </c>
      <c r="B100" s="588">
        <f>+B29</f>
        <v>3.6968430843552579E-2</v>
      </c>
      <c r="C100" s="593"/>
      <c r="D100" s="400"/>
      <c r="E100" s="734"/>
      <c r="F100" s="735"/>
      <c r="G100" s="735"/>
      <c r="H100" s="735"/>
      <c r="I100" s="735"/>
    </row>
    <row r="101" spans="1:10" ht="15" x14ac:dyDescent="0.4">
      <c r="A101" s="597" t="str">
        <f>+A50</f>
        <v>Coger componentes desubicados en playa de salida y ordenarlos para suministro ordenado a línea L1/L2</v>
      </c>
      <c r="B101" s="592">
        <f>+B50</f>
        <v>0.2111707018115942</v>
      </c>
      <c r="C101" s="594"/>
      <c r="D101" s="401"/>
      <c r="E101" s="728"/>
      <c r="F101" s="730"/>
      <c r="G101" s="730"/>
      <c r="H101" s="730"/>
      <c r="I101" s="730"/>
    </row>
    <row r="102" spans="1:10" ht="15" x14ac:dyDescent="0.4">
      <c r="B102" s="372">
        <f>SUM(B96:B101)</f>
        <v>1.6924115167104401</v>
      </c>
      <c r="C102" s="398">
        <v>2</v>
      </c>
      <c r="D102" s="401">
        <f>+B102/C102</f>
        <v>0.84620575835522005</v>
      </c>
      <c r="E102" s="398">
        <f>SUM(E96)</f>
        <v>1</v>
      </c>
      <c r="F102" s="286"/>
      <c r="G102" s="286"/>
      <c r="H102" s="286"/>
      <c r="I102" s="286"/>
    </row>
    <row r="103" spans="1:10" ht="15" x14ac:dyDescent="0.4">
      <c r="B103" s="363"/>
      <c r="C103" s="364"/>
      <c r="D103" s="383"/>
      <c r="E103" s="364"/>
      <c r="F103" s="282"/>
      <c r="G103" s="282"/>
      <c r="H103" s="282"/>
      <c r="I103" s="282"/>
    </row>
    <row r="104" spans="1:10" ht="16.899999999999999" x14ac:dyDescent="0.5">
      <c r="A104" s="576" t="s">
        <v>888</v>
      </c>
      <c r="B104" s="363"/>
      <c r="C104" s="364"/>
      <c r="D104" s="383"/>
      <c r="E104" s="282"/>
    </row>
    <row r="105" spans="1:10" ht="15" x14ac:dyDescent="0.4">
      <c r="A105" s="578" t="str">
        <f>+A53</f>
        <v>Picking secuenciado dentro de Sidreria L1</v>
      </c>
      <c r="B105" s="394">
        <f>+B53</f>
        <v>1.8289094202898548</v>
      </c>
      <c r="C105" s="394"/>
      <c r="D105" s="394"/>
      <c r="E105" s="394"/>
      <c r="F105" s="394"/>
      <c r="G105" s="394"/>
      <c r="H105" s="394"/>
      <c r="I105" s="394"/>
      <c r="J105" s="476"/>
    </row>
    <row r="106" spans="1:10" ht="15" x14ac:dyDescent="0.4">
      <c r="A106" s="640" t="str">
        <f>+A54</f>
        <v>Picking secuenciado dentro de Sidreria L2</v>
      </c>
      <c r="B106" s="395">
        <f>+B54</f>
        <v>0.75230869565217395</v>
      </c>
      <c r="C106" s="395"/>
      <c r="D106" s="395"/>
      <c r="E106" s="395"/>
      <c r="F106" s="395"/>
      <c r="G106" s="395"/>
      <c r="H106" s="395"/>
      <c r="I106" s="395"/>
      <c r="J106" s="476"/>
    </row>
    <row r="107" spans="1:10" ht="15" x14ac:dyDescent="0.4">
      <c r="A107" s="579" t="str">
        <f>+A44</f>
        <v>Secuenciado de envolventes</v>
      </c>
      <c r="B107" s="577">
        <f>+B44</f>
        <v>0.34010006270903004</v>
      </c>
      <c r="C107" s="577"/>
      <c r="D107" s="577"/>
      <c r="E107" s="577"/>
      <c r="F107" s="577"/>
      <c r="G107" s="577"/>
      <c r="H107" s="577"/>
      <c r="I107" s="577"/>
      <c r="J107" s="476"/>
    </row>
    <row r="108" spans="1:10" ht="15" x14ac:dyDescent="0.4">
      <c r="B108" s="415">
        <f>SUM(B105:B107)</f>
        <v>2.9213181786510587</v>
      </c>
      <c r="C108" s="398">
        <v>4</v>
      </c>
      <c r="D108" s="401">
        <f>+B108/C108</f>
        <v>0.73032954466276467</v>
      </c>
      <c r="E108" s="286"/>
      <c r="F108" s="439"/>
      <c r="G108" s="439"/>
      <c r="H108" s="439"/>
      <c r="I108" s="439"/>
    </row>
    <row r="109" spans="1:10" ht="15" x14ac:dyDescent="0.4">
      <c r="B109" s="363"/>
      <c r="C109" s="364"/>
      <c r="D109" s="383"/>
      <c r="E109" s="282"/>
    </row>
    <row r="110" spans="1:10" ht="16.899999999999999" x14ac:dyDescent="0.5">
      <c r="A110" s="576" t="s">
        <v>1012</v>
      </c>
      <c r="B110" s="363"/>
      <c r="C110" s="364"/>
      <c r="D110" s="383"/>
      <c r="E110" s="282"/>
    </row>
    <row r="111" spans="1:10" ht="15" x14ac:dyDescent="0.4">
      <c r="A111" s="603" t="str">
        <f>+A39</f>
        <v>Suministro de Armazones desde almacén automático hasta Armazones</v>
      </c>
      <c r="B111" s="394">
        <f>+B39</f>
        <v>4.285733065774805E-2</v>
      </c>
      <c r="C111" s="396"/>
      <c r="D111" s="399"/>
      <c r="E111" s="727"/>
      <c r="F111" s="754"/>
      <c r="G111" s="754"/>
      <c r="H111" s="723">
        <f>+O66</f>
        <v>1</v>
      </c>
      <c r="I111" s="754"/>
    </row>
    <row r="112" spans="1:10" ht="15" x14ac:dyDescent="0.4">
      <c r="A112" s="604" t="str">
        <f>+A51</f>
        <v>Coger material del almacén automático/exterior y dejarlo en dobladoras</v>
      </c>
      <c r="B112" s="395">
        <f>+B51</f>
        <v>0.90088789523533852</v>
      </c>
      <c r="C112" s="397"/>
      <c r="D112" s="400"/>
      <c r="E112" s="734"/>
      <c r="F112" s="755"/>
      <c r="G112" s="755"/>
      <c r="H112" s="724"/>
      <c r="I112" s="755"/>
    </row>
    <row r="113" spans="1:11" ht="15" x14ac:dyDescent="0.4">
      <c r="A113" s="605" t="str">
        <f>+A52</f>
        <v>Mover contenedores chapa 2D entre diferentes máquinas de Chapa (dobladora, 3D, prensa…)</v>
      </c>
      <c r="B113" s="395">
        <f>+B52</f>
        <v>0.2089309409321726</v>
      </c>
      <c r="C113" s="397"/>
      <c r="D113" s="400"/>
      <c r="E113" s="734"/>
      <c r="F113" s="755"/>
      <c r="G113" s="755"/>
      <c r="H113" s="724"/>
      <c r="I113" s="755"/>
    </row>
    <row r="114" spans="1:11" ht="15" x14ac:dyDescent="0.4">
      <c r="A114" s="606" t="str">
        <f>+A56</f>
        <v>Sacar cercos (cajas vacías) de chapa desde Dobladora a zona exterior (Residuos)</v>
      </c>
      <c r="B114" s="577">
        <f>+B56</f>
        <v>0.34446588321791394</v>
      </c>
      <c r="C114" s="398"/>
      <c r="D114" s="401"/>
      <c r="E114" s="728"/>
      <c r="F114" s="756"/>
      <c r="G114" s="756"/>
      <c r="H114" s="725"/>
      <c r="I114" s="756"/>
      <c r="K114" s="332"/>
    </row>
    <row r="115" spans="1:11" ht="15" x14ac:dyDescent="0.4">
      <c r="B115" s="415">
        <f>SUM(B111:B114)</f>
        <v>1.4971420500431731</v>
      </c>
      <c r="C115" s="398">
        <v>2</v>
      </c>
      <c r="D115" s="401">
        <f>+B115/C115</f>
        <v>0.74857102502158657</v>
      </c>
      <c r="E115" s="333"/>
      <c r="F115" s="333"/>
      <c r="G115" s="333"/>
      <c r="H115" s="417">
        <f>+H111</f>
        <v>1</v>
      </c>
      <c r="I115" s="333"/>
    </row>
    <row r="116" spans="1:11" ht="15" x14ac:dyDescent="0.4">
      <c r="B116" s="363"/>
      <c r="C116" s="364"/>
      <c r="D116" s="383"/>
      <c r="E116" s="282"/>
    </row>
    <row r="117" spans="1:11" ht="15" x14ac:dyDescent="0.4">
      <c r="A117" s="282"/>
      <c r="B117" s="282"/>
      <c r="C117" s="350"/>
      <c r="D117" s="350"/>
      <c r="E117" s="282"/>
    </row>
    <row r="118" spans="1:11" ht="18" customHeight="1" x14ac:dyDescent="0.5">
      <c r="A118" s="371" t="s">
        <v>1013</v>
      </c>
      <c r="B118" s="282"/>
      <c r="C118" s="350"/>
      <c r="D118" s="350"/>
      <c r="E118" s="282"/>
    </row>
    <row r="119" spans="1:11" ht="15" x14ac:dyDescent="0.4">
      <c r="A119" s="642" t="str">
        <f>+A34</f>
        <v>Suministro desde Dobladora hasta Premontaje L1</v>
      </c>
      <c r="B119" s="331">
        <f>+B34</f>
        <v>0.13170801726292314</v>
      </c>
      <c r="C119" s="330"/>
      <c r="D119" s="330"/>
      <c r="E119" s="731">
        <v>1</v>
      </c>
      <c r="F119" s="731"/>
      <c r="G119" s="731"/>
      <c r="H119" s="731"/>
      <c r="I119" s="731"/>
    </row>
    <row r="120" spans="1:11" ht="15" x14ac:dyDescent="0.4">
      <c r="A120" s="643" t="str">
        <f t="shared" ref="A120:B121" si="4">+A35</f>
        <v>Suministro desde Dobladora hasta Premontaje L2</v>
      </c>
      <c r="B120" s="367">
        <f t="shared" si="4"/>
        <v>0.16935139283124834</v>
      </c>
      <c r="C120" s="369"/>
      <c r="D120" s="369"/>
      <c r="E120" s="732"/>
      <c r="F120" s="732"/>
      <c r="G120" s="732"/>
      <c r="H120" s="732"/>
      <c r="I120" s="732"/>
    </row>
    <row r="121" spans="1:11" ht="15" x14ac:dyDescent="0.4">
      <c r="A121" s="643" t="str">
        <f t="shared" si="4"/>
        <v>Suministro desde Dobladora hasta Premontaje L3</v>
      </c>
      <c r="B121" s="367">
        <f t="shared" si="4"/>
        <v>3.3319167460316265E-3</v>
      </c>
      <c r="C121" s="369"/>
      <c r="D121" s="369"/>
      <c r="E121" s="732"/>
      <c r="F121" s="732"/>
      <c r="G121" s="732"/>
      <c r="H121" s="732"/>
      <c r="I121" s="732"/>
    </row>
    <row r="122" spans="1:11" ht="15" x14ac:dyDescent="0.4">
      <c r="A122" s="643" t="str">
        <f>+A30</f>
        <v>Würth desde zona de salida hasta premontajes/Línea 1</v>
      </c>
      <c r="B122" s="367">
        <f>+B30</f>
        <v>4.0752246198871987E-2</v>
      </c>
      <c r="C122" s="369"/>
      <c r="D122" s="369"/>
      <c r="E122" s="732"/>
      <c r="F122" s="732"/>
      <c r="G122" s="732"/>
      <c r="H122" s="732"/>
      <c r="I122" s="732"/>
    </row>
    <row r="123" spans="1:11" ht="15" x14ac:dyDescent="0.4">
      <c r="A123" s="658" t="str">
        <f>+A31</f>
        <v>Würth desde zona de salida hasta premontajes/Línea L2/L3</v>
      </c>
      <c r="B123" s="367">
        <f>+B31</f>
        <v>3.3907112336157251E-2</v>
      </c>
      <c r="C123" s="369"/>
      <c r="D123" s="369"/>
      <c r="E123" s="732"/>
      <c r="F123" s="732"/>
      <c r="G123" s="732"/>
      <c r="H123" s="732"/>
      <c r="I123" s="732"/>
    </row>
    <row r="124" spans="1:11" ht="15" x14ac:dyDescent="0.4">
      <c r="A124" s="648" t="str">
        <f>+A62</f>
        <v>Llevar chapa 3D pasando por diferentes máquinas de chapa (prensa, dobladora, 3D…) en almacén central. Chapa &gt; Playa Almacén</v>
      </c>
      <c r="B124" s="367">
        <f>+B62</f>
        <v>0.22478773582525147</v>
      </c>
      <c r="C124" s="369"/>
      <c r="D124" s="369"/>
      <c r="E124" s="732"/>
      <c r="F124" s="732"/>
      <c r="G124" s="732"/>
      <c r="H124" s="732"/>
      <c r="I124" s="732"/>
    </row>
    <row r="125" spans="1:11" ht="15" x14ac:dyDescent="0.4">
      <c r="A125" s="643" t="str">
        <f>+A23</f>
        <v>Llevar China del Almacén automático hacia playa de salida. Almacén automático &gt; Playa</v>
      </c>
      <c r="B125" s="367">
        <f>+B23</f>
        <v>5.3116597747321984E-2</v>
      </c>
      <c r="C125" s="369"/>
      <c r="D125" s="369"/>
      <c r="E125" s="732"/>
      <c r="F125" s="732"/>
      <c r="G125" s="732"/>
      <c r="H125" s="732"/>
      <c r="I125" s="732"/>
    </row>
    <row r="126" spans="1:11" ht="15" x14ac:dyDescent="0.4">
      <c r="A126" s="643" t="str">
        <f>+A55</f>
        <v>Recogida material de SAT (premontajes/Sidreria)</v>
      </c>
      <c r="B126" s="367">
        <f>+B55</f>
        <v>0.45458698605860115</v>
      </c>
      <c r="C126" s="369"/>
      <c r="D126" s="369"/>
      <c r="E126" s="732"/>
      <c r="F126" s="732"/>
      <c r="G126" s="732"/>
      <c r="H126" s="732"/>
      <c r="I126" s="732"/>
    </row>
    <row r="127" spans="1:11" ht="15" x14ac:dyDescent="0.4">
      <c r="A127" s="643" t="str">
        <f>+A49</f>
        <v>Coger máquina L2 y llevarla a Calidad</v>
      </c>
      <c r="B127" s="367">
        <f>+B49</f>
        <v>4.1849684132292831E-3</v>
      </c>
      <c r="C127" s="369"/>
      <c r="D127" s="369"/>
      <c r="E127" s="732"/>
      <c r="F127" s="732"/>
      <c r="G127" s="732"/>
      <c r="H127" s="732"/>
      <c r="I127" s="732"/>
    </row>
    <row r="128" spans="1:11" ht="15" x14ac:dyDescent="0.4">
      <c r="A128" s="659" t="str">
        <f>+A46</f>
        <v>Coger máquina de L2/L3 para llevar a montacargas</v>
      </c>
      <c r="B128" s="368">
        <f>+B46</f>
        <v>8.3137135358602759E-2</v>
      </c>
      <c r="C128" s="333"/>
      <c r="D128" s="333"/>
      <c r="E128" s="733"/>
      <c r="F128" s="733"/>
      <c r="G128" s="733"/>
      <c r="H128" s="733"/>
      <c r="I128" s="733"/>
    </row>
    <row r="129" spans="1:9" ht="15" x14ac:dyDescent="0.4">
      <c r="A129" s="282"/>
      <c r="B129" s="372">
        <f>SUM(B119:B128)</f>
        <v>1.198864108778239</v>
      </c>
      <c r="C129" s="370">
        <v>2</v>
      </c>
      <c r="D129" s="373">
        <f>+B129/C129</f>
        <v>0.59943205438911951</v>
      </c>
      <c r="E129" s="370">
        <f>SUM(E119)</f>
        <v>1</v>
      </c>
      <c r="F129" s="320"/>
      <c r="G129" s="370"/>
      <c r="H129" s="320"/>
      <c r="I129" s="320"/>
    </row>
    <row r="130" spans="1:9" ht="15" x14ac:dyDescent="0.4">
      <c r="A130" s="282"/>
      <c r="B130" s="363"/>
      <c r="C130" s="364"/>
      <c r="D130" s="383"/>
      <c r="E130" s="364"/>
      <c r="F130" s="282"/>
      <c r="G130" s="282"/>
      <c r="H130" s="282"/>
      <c r="I130" s="282"/>
    </row>
    <row r="131" spans="1:9" ht="15" x14ac:dyDescent="0.4">
      <c r="A131" s="475" t="s">
        <v>887</v>
      </c>
      <c r="B131" s="282"/>
      <c r="C131" s="350"/>
      <c r="D131" s="350"/>
      <c r="E131" s="282"/>
    </row>
    <row r="132" spans="1:9" ht="15" x14ac:dyDescent="0.4">
      <c r="A132" s="580" t="str">
        <f>+A32</f>
        <v>Carros secuenciados desde Sidreria hasta Linea 1</v>
      </c>
      <c r="B132" s="331">
        <f>+B32</f>
        <v>2.8621334404738823</v>
      </c>
      <c r="C132" s="330"/>
      <c r="D132" s="430"/>
      <c r="E132" s="729"/>
      <c r="F132" s="729"/>
      <c r="G132" s="727">
        <v>2</v>
      </c>
      <c r="H132" s="729"/>
      <c r="I132" s="729"/>
    </row>
    <row r="133" spans="1:9" ht="15" x14ac:dyDescent="0.4">
      <c r="A133" s="581" t="str">
        <f>+A33</f>
        <v>Carros secuenciados desde Sidreria hasta Linea 2</v>
      </c>
      <c r="B133" s="368">
        <f>+B33</f>
        <v>1.0244291883270322</v>
      </c>
      <c r="C133" s="333"/>
      <c r="D133" s="431"/>
      <c r="E133" s="730"/>
      <c r="F133" s="730"/>
      <c r="G133" s="728"/>
      <c r="H133" s="730"/>
      <c r="I133" s="730"/>
    </row>
    <row r="134" spans="1:9" ht="15" x14ac:dyDescent="0.4">
      <c r="A134" s="282"/>
      <c r="B134" s="415">
        <f>+B132+B133</f>
        <v>3.8865626288009145</v>
      </c>
      <c r="C134" s="417">
        <f>+C32</f>
        <v>4</v>
      </c>
      <c r="D134" s="401">
        <f>(B132+B133)/C134</f>
        <v>0.97164065720022863</v>
      </c>
      <c r="E134" s="286"/>
      <c r="F134" s="286"/>
      <c r="G134" s="398">
        <f>+G132</f>
        <v>2</v>
      </c>
      <c r="H134" s="286"/>
      <c r="I134" s="286"/>
    </row>
    <row r="135" spans="1:9" ht="15" x14ac:dyDescent="0.4">
      <c r="A135" s="282"/>
      <c r="B135" s="363"/>
      <c r="C135" s="440"/>
      <c r="D135" s="383"/>
      <c r="E135" s="282"/>
      <c r="F135" s="282"/>
      <c r="G135" s="364"/>
      <c r="H135" s="282"/>
      <c r="I135" s="282"/>
    </row>
    <row r="136" spans="1:9" ht="15" x14ac:dyDescent="0.4">
      <c r="A136" s="475" t="s">
        <v>886</v>
      </c>
      <c r="B136" s="363"/>
      <c r="C136" s="440"/>
      <c r="D136" s="383"/>
      <c r="E136" s="282"/>
      <c r="F136" s="282"/>
      <c r="G136" s="364"/>
      <c r="H136" s="282"/>
      <c r="I136" s="282"/>
    </row>
    <row r="137" spans="1:9" ht="15" x14ac:dyDescent="0.4">
      <c r="A137" s="660" t="str">
        <f>+A37</f>
        <v>Suministro MADERA a Premontaje (altas y bajas) L1</v>
      </c>
      <c r="B137" s="331">
        <f>+B37</f>
        <v>0.1146404824414716</v>
      </c>
      <c r="C137" s="717"/>
      <c r="D137" s="717"/>
      <c r="E137" s="720">
        <v>1</v>
      </c>
      <c r="F137" s="717"/>
      <c r="G137" s="717"/>
      <c r="H137" s="720"/>
      <c r="I137" s="717"/>
    </row>
    <row r="138" spans="1:9" ht="15" x14ac:dyDescent="0.4">
      <c r="A138" s="661" t="str">
        <f>+A38</f>
        <v>Suministro MADERA a Premontaje (altas y bajas) L2/3</v>
      </c>
      <c r="B138" s="367">
        <f>+B38</f>
        <v>6.8769610785953186E-2</v>
      </c>
      <c r="C138" s="718"/>
      <c r="D138" s="718"/>
      <c r="E138" s="721"/>
      <c r="F138" s="718"/>
      <c r="G138" s="718"/>
      <c r="H138" s="721"/>
      <c r="I138" s="718"/>
    </row>
    <row r="139" spans="1:9" ht="15" x14ac:dyDescent="0.4">
      <c r="A139" s="661" t="str">
        <f>+A40</f>
        <v>Suministro armazones bajas desde armazones hasta estanteria exterior</v>
      </c>
      <c r="B139" s="367">
        <f>+B40</f>
        <v>9.4378468970642906E-2</v>
      </c>
      <c r="C139" s="718"/>
      <c r="D139" s="718"/>
      <c r="E139" s="721"/>
      <c r="F139" s="718"/>
      <c r="G139" s="718"/>
      <c r="H139" s="721"/>
      <c r="I139" s="718"/>
    </row>
    <row r="140" spans="1:9" ht="15" x14ac:dyDescent="0.4">
      <c r="A140" s="661" t="str">
        <f>+A41</f>
        <v>Suministro de armazones desde estantería exterior hasta premontaje bajas</v>
      </c>
      <c r="B140" s="367">
        <f>+B41</f>
        <v>0.14852726681531031</v>
      </c>
      <c r="C140" s="718"/>
      <c r="D140" s="718"/>
      <c r="E140" s="721"/>
      <c r="F140" s="718"/>
      <c r="G140" s="718"/>
      <c r="H140" s="721"/>
      <c r="I140" s="718"/>
    </row>
    <row r="141" spans="1:9" ht="15" x14ac:dyDescent="0.4">
      <c r="A141" s="661" t="str">
        <f>+A45</f>
        <v>Producto acabado de Tubos para almacén y producto terminado</v>
      </c>
      <c r="B141" s="367">
        <f>+B45</f>
        <v>6.612836770717205E-2</v>
      </c>
      <c r="C141" s="718"/>
      <c r="D141" s="718"/>
      <c r="E141" s="721"/>
      <c r="F141" s="718"/>
      <c r="G141" s="718"/>
      <c r="H141" s="721"/>
      <c r="I141" s="718"/>
    </row>
    <row r="142" spans="1:9" ht="15" x14ac:dyDescent="0.4">
      <c r="A142" s="661" t="str">
        <f>+A47</f>
        <v>Coger zocalos y KITs y meterlos en ascensor</v>
      </c>
      <c r="B142" s="367">
        <f>+B47</f>
        <v>3.3698773690078038E-2</v>
      </c>
      <c r="C142" s="718"/>
      <c r="D142" s="718"/>
      <c r="E142" s="721"/>
      <c r="F142" s="718"/>
      <c r="G142" s="718"/>
      <c r="H142" s="721"/>
      <c r="I142" s="718"/>
    </row>
    <row r="143" spans="1:9" ht="15" x14ac:dyDescent="0.4">
      <c r="A143" s="661" t="str">
        <f>+A48</f>
        <v>Coger máquina de L3 y sacar a la calle</v>
      </c>
      <c r="B143" s="367">
        <f>+B48</f>
        <v>1.2545127276105536E-2</v>
      </c>
      <c r="C143" s="718"/>
      <c r="D143" s="718"/>
      <c r="E143" s="721"/>
      <c r="F143" s="718"/>
      <c r="G143" s="718"/>
      <c r="H143" s="721"/>
      <c r="I143" s="718"/>
    </row>
    <row r="144" spans="1:9" ht="15" x14ac:dyDescent="0.4">
      <c r="A144" s="661" t="str">
        <f t="shared" ref="A144:B148" si="5">+A57</f>
        <v>Cargar máquinas en el camión</v>
      </c>
      <c r="B144" s="367">
        <f t="shared" si="5"/>
        <v>1.9047473058342621E-2</v>
      </c>
      <c r="C144" s="718"/>
      <c r="D144" s="718"/>
      <c r="E144" s="721"/>
      <c r="F144" s="718"/>
      <c r="G144" s="718"/>
      <c r="H144" s="721"/>
      <c r="I144" s="718"/>
    </row>
    <row r="145" spans="1:10" ht="15" x14ac:dyDescent="0.4">
      <c r="A145" s="661" t="str">
        <f t="shared" si="5"/>
        <v>Recepción material de chapa 2D tamaño grande (no entra en almacén automático) y carga de vacíos chapa</v>
      </c>
      <c r="B145" s="367">
        <f t="shared" si="5"/>
        <v>0.20506012399581394</v>
      </c>
      <c r="C145" s="718"/>
      <c r="D145" s="718"/>
      <c r="E145" s="721"/>
      <c r="F145" s="718"/>
      <c r="G145" s="718"/>
      <c r="H145" s="721"/>
      <c r="I145" s="718"/>
    </row>
    <row r="146" spans="1:10" ht="15" x14ac:dyDescent="0.4">
      <c r="A146" s="661" t="str">
        <f t="shared" si="5"/>
        <v>Devolución componentes rechazados por Calidad</v>
      </c>
      <c r="B146" s="367">
        <f t="shared" si="5"/>
        <v>4.2436361947231514E-2</v>
      </c>
      <c r="C146" s="718"/>
      <c r="D146" s="718"/>
      <c r="E146" s="721"/>
      <c r="F146" s="718"/>
      <c r="G146" s="718"/>
      <c r="H146" s="721"/>
      <c r="I146" s="718"/>
    </row>
    <row r="147" spans="1:10" ht="15" x14ac:dyDescent="0.4">
      <c r="A147" s="661" t="str">
        <f t="shared" si="5"/>
        <v>Tirar chatarra a Residuos</v>
      </c>
      <c r="B147" s="367">
        <f t="shared" si="5"/>
        <v>6.1698950204384991E-2</v>
      </c>
      <c r="C147" s="718"/>
      <c r="D147" s="718"/>
      <c r="E147" s="721"/>
      <c r="F147" s="718"/>
      <c r="G147" s="718"/>
      <c r="H147" s="721"/>
      <c r="I147" s="718"/>
    </row>
    <row r="148" spans="1:10" ht="15" x14ac:dyDescent="0.4">
      <c r="A148" s="661" t="str">
        <f t="shared" si="5"/>
        <v>Coger material del montacargas y dejarlo en Ubicación almacén material 3D interno</v>
      </c>
      <c r="B148" s="367">
        <f t="shared" si="5"/>
        <v>3.5885126347082871E-3</v>
      </c>
      <c r="C148" s="718"/>
      <c r="D148" s="718"/>
      <c r="E148" s="721"/>
      <c r="F148" s="718"/>
      <c r="G148" s="718"/>
      <c r="H148" s="721"/>
      <c r="I148" s="718"/>
    </row>
    <row r="149" spans="1:10" ht="15" x14ac:dyDescent="0.4">
      <c r="A149" s="662" t="str">
        <f>+A64</f>
        <v>Reciclaje del material desechable (cartón)</v>
      </c>
      <c r="B149" s="368">
        <f>+B64</f>
        <v>0.61622682088442959</v>
      </c>
      <c r="C149" s="719"/>
      <c r="D149" s="719"/>
      <c r="E149" s="722"/>
      <c r="F149" s="719"/>
      <c r="G149" s="719"/>
      <c r="H149" s="722"/>
      <c r="I149" s="719"/>
    </row>
    <row r="150" spans="1:10" ht="15" x14ac:dyDescent="0.4">
      <c r="A150" s="473"/>
      <c r="B150" s="415">
        <f>SUM(B137:B149)</f>
        <v>1.4867463404116448</v>
      </c>
      <c r="C150" s="417">
        <f>+C51</f>
        <v>2</v>
      </c>
      <c r="D150" s="401">
        <f>(B150)/C150</f>
        <v>0.74337317020582239</v>
      </c>
      <c r="E150" s="663">
        <f>SUM(E137)</f>
        <v>1</v>
      </c>
      <c r="F150" s="286"/>
      <c r="G150" s="398"/>
      <c r="H150" s="417"/>
      <c r="I150" s="286"/>
    </row>
    <row r="151" spans="1:10" ht="15" x14ac:dyDescent="0.4">
      <c r="A151" s="473"/>
      <c r="B151" s="363"/>
      <c r="C151" s="440"/>
      <c r="D151" s="383"/>
      <c r="E151" s="665"/>
      <c r="F151" s="282"/>
      <c r="G151" s="364"/>
      <c r="H151" s="440"/>
      <c r="I151" s="282"/>
    </row>
    <row r="152" spans="1:10" ht="15" x14ac:dyDescent="0.4">
      <c r="A152" s="668" t="str">
        <f>+A63</f>
        <v>Inventario</v>
      </c>
      <c r="B152" s="448">
        <f>+B63</f>
        <v>1</v>
      </c>
      <c r="C152" s="441">
        <v>1</v>
      </c>
      <c r="D152" s="373"/>
      <c r="E152" s="428"/>
      <c r="F152" s="320"/>
      <c r="G152" s="370"/>
      <c r="H152" s="441"/>
      <c r="I152" s="320"/>
    </row>
    <row r="153" spans="1:10" ht="15" x14ac:dyDescent="0.4">
      <c r="A153" s="282"/>
      <c r="B153" s="363"/>
      <c r="C153" s="440"/>
      <c r="D153" s="383"/>
      <c r="E153" s="282"/>
      <c r="F153" s="282"/>
      <c r="G153" s="364"/>
      <c r="H153" s="282"/>
      <c r="I153" s="282"/>
    </row>
    <row r="154" spans="1:10" ht="20.45" customHeight="1" x14ac:dyDescent="0.35">
      <c r="A154" s="442" t="s">
        <v>736</v>
      </c>
      <c r="B154" s="757">
        <f>SUM(C73:C153)</f>
        <v>25</v>
      </c>
      <c r="C154" s="758"/>
      <c r="D154" s="759"/>
      <c r="E154" s="691">
        <f>+E150+E134+E129+E115+E108+E102+E93+E83+E79</f>
        <v>4</v>
      </c>
      <c r="F154" s="691">
        <f>+F150+F134+F129+F115+F108+F102+F93+F83+F79</f>
        <v>2</v>
      </c>
      <c r="G154" s="691">
        <f>+G150+G134+G129+G115+G108+G102+G93+G83+G79</f>
        <v>2</v>
      </c>
      <c r="H154" s="691">
        <f>+H150+H134+H129+H115+H108+H102+H93+H83+H79</f>
        <v>1</v>
      </c>
      <c r="I154" s="691">
        <f>+I150+I134+I129+I115+I108+I102+I93+I83+I79</f>
        <v>2</v>
      </c>
      <c r="J154" s="664">
        <f>SUM(E154:I154)</f>
        <v>11</v>
      </c>
    </row>
    <row r="155" spans="1:10" ht="15" x14ac:dyDescent="0.4">
      <c r="A155" s="282"/>
      <c r="B155" s="282"/>
      <c r="C155" s="350"/>
      <c r="D155" s="350"/>
      <c r="E155" s="692"/>
      <c r="F155" s="693"/>
      <c r="G155" s="693"/>
      <c r="H155" s="693"/>
      <c r="I155" s="693"/>
    </row>
    <row r="156" spans="1:10" x14ac:dyDescent="0.35">
      <c r="C156" s="361" t="str">
        <f>IF(B154=C66,"Ok","NOK")</f>
        <v>Ok</v>
      </c>
      <c r="D156" s="361"/>
      <c r="E156" s="694" t="str">
        <f>IF((+E154+F154+G154+H154+I154)=T66,"Ok","NOK")</f>
        <v>Ok</v>
      </c>
      <c r="F156" s="693"/>
      <c r="G156" s="693"/>
      <c r="H156" s="693"/>
      <c r="I156" s="693"/>
    </row>
    <row r="157" spans="1:10" x14ac:dyDescent="0.35">
      <c r="C157" s="361"/>
      <c r="D157" s="361"/>
      <c r="E157" s="693"/>
      <c r="F157" s="693"/>
      <c r="G157" s="693"/>
      <c r="H157" s="693"/>
      <c r="I157" s="693"/>
    </row>
    <row r="158" spans="1:10" ht="15" x14ac:dyDescent="0.4">
      <c r="A158" s="320" t="s">
        <v>852</v>
      </c>
      <c r="B158" s="372"/>
      <c r="C158" s="441"/>
      <c r="D158" s="373"/>
      <c r="E158" s="695"/>
      <c r="F158" s="695"/>
      <c r="G158" s="696"/>
      <c r="H158" s="695"/>
      <c r="I158" s="695"/>
    </row>
    <row r="159" spans="1:10" ht="19.149999999999999" customHeight="1" x14ac:dyDescent="0.35">
      <c r="E159" s="693"/>
      <c r="F159" s="693"/>
      <c r="G159" s="693"/>
      <c r="H159" s="693"/>
      <c r="I159" s="693"/>
    </row>
    <row r="160" spans="1:10" ht="20.45" customHeight="1" x14ac:dyDescent="0.35">
      <c r="A160" s="416" t="s">
        <v>736</v>
      </c>
      <c r="B160" s="757">
        <f>SUM(C79:C159)</f>
        <v>25</v>
      </c>
      <c r="C160" s="758"/>
      <c r="D160" s="759"/>
      <c r="E160" s="691">
        <f>+E154+E158</f>
        <v>4</v>
      </c>
      <c r="F160" s="691">
        <f t="shared" ref="F160:I160" si="6">+F154+F158</f>
        <v>2</v>
      </c>
      <c r="G160" s="691">
        <f t="shared" si="6"/>
        <v>2</v>
      </c>
      <c r="H160" s="691">
        <f t="shared" si="6"/>
        <v>1</v>
      </c>
      <c r="I160" s="691">
        <f t="shared" si="6"/>
        <v>2</v>
      </c>
    </row>
  </sheetData>
  <mergeCells count="52">
    <mergeCell ref="G73:G78"/>
    <mergeCell ref="H73:H78"/>
    <mergeCell ref="I73:I78"/>
    <mergeCell ref="B160:D160"/>
    <mergeCell ref="E111:E114"/>
    <mergeCell ref="F111:F114"/>
    <mergeCell ref="G111:G114"/>
    <mergeCell ref="H111:H114"/>
    <mergeCell ref="B154:D154"/>
    <mergeCell ref="E119:E128"/>
    <mergeCell ref="F119:F128"/>
    <mergeCell ref="G119:G128"/>
    <mergeCell ref="H119:H128"/>
    <mergeCell ref="E132:E133"/>
    <mergeCell ref="F132:F133"/>
    <mergeCell ref="I111:I114"/>
    <mergeCell ref="B3:D4"/>
    <mergeCell ref="B70:D70"/>
    <mergeCell ref="E70:E71"/>
    <mergeCell ref="F70:F71"/>
    <mergeCell ref="G70:G71"/>
    <mergeCell ref="E3:S3"/>
    <mergeCell ref="E4:G4"/>
    <mergeCell ref="H4:J4"/>
    <mergeCell ref="H70:H71"/>
    <mergeCell ref="I70:I71"/>
    <mergeCell ref="N4:P4"/>
    <mergeCell ref="K4:M4"/>
    <mergeCell ref="Q4:S4"/>
    <mergeCell ref="E73:E78"/>
    <mergeCell ref="F73:F78"/>
    <mergeCell ref="G132:G133"/>
    <mergeCell ref="H132:H133"/>
    <mergeCell ref="I132:I133"/>
    <mergeCell ref="I119:I128"/>
    <mergeCell ref="E96:E101"/>
    <mergeCell ref="F96:F101"/>
    <mergeCell ref="G96:G101"/>
    <mergeCell ref="H96:H101"/>
    <mergeCell ref="I96:I101"/>
    <mergeCell ref="E86:E92"/>
    <mergeCell ref="F86:F92"/>
    <mergeCell ref="G86:G92"/>
    <mergeCell ref="H86:H92"/>
    <mergeCell ref="I86:I92"/>
    <mergeCell ref="G137:G149"/>
    <mergeCell ref="I137:I149"/>
    <mergeCell ref="F137:F149"/>
    <mergeCell ref="C137:C149"/>
    <mergeCell ref="D137:D149"/>
    <mergeCell ref="E137:E149"/>
    <mergeCell ref="H137:H149"/>
  </mergeCells>
  <pageMargins left="0.51181102362204722" right="0.31496062992125984" top="0.55118110236220474" bottom="0.55118110236220474" header="0.31496062992125984" footer="0.31496062992125984"/>
  <pageSetup paperSize="9" scale="42" orientation="landscape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19ADE-0A2B-49C8-8C62-1877D0731BDF}">
  <sheetPr>
    <pageSetUpPr fitToPage="1"/>
  </sheetPr>
  <dimension ref="A1:T160"/>
  <sheetViews>
    <sheetView zoomScale="66" zoomScaleNormal="66" workbookViewId="0">
      <pane ySplit="5" topLeftCell="A76" activePane="bottomLeft" state="frozen"/>
      <selection pane="bottomLeft" activeCell="A108" sqref="A108"/>
    </sheetView>
  </sheetViews>
  <sheetFormatPr baseColWidth="10" defaultColWidth="11.59765625" defaultRowHeight="13.5" x14ac:dyDescent="0.35"/>
  <cols>
    <col min="1" max="1" width="129" style="119" customWidth="1"/>
    <col min="2" max="3" width="11.265625" style="119" customWidth="1"/>
    <col min="4" max="4" width="9.1328125" style="119" customWidth="1"/>
    <col min="5" max="6" width="11.59765625" style="119"/>
    <col min="7" max="7" width="9.265625" style="119" customWidth="1"/>
    <col min="8" max="9" width="11.59765625" style="119"/>
    <col min="10" max="10" width="8.265625" style="119" customWidth="1"/>
    <col min="11" max="12" width="11.59765625" style="119"/>
    <col min="13" max="13" width="8.265625" style="119" customWidth="1"/>
    <col min="14" max="14" width="10.73046875" style="119" customWidth="1"/>
    <col min="15" max="15" width="10.265625" style="119" customWidth="1"/>
    <col min="16" max="16" width="8.265625" style="119" customWidth="1"/>
    <col min="17" max="18" width="11.59765625" style="119"/>
    <col min="19" max="19" width="8.265625" style="119" customWidth="1"/>
    <col min="20" max="16384" width="11.59765625" style="119"/>
  </cols>
  <sheetData>
    <row r="1" spans="1:19" ht="22.5" x14ac:dyDescent="0.6">
      <c r="A1" s="118" t="s">
        <v>65</v>
      </c>
      <c r="B1" s="332"/>
    </row>
    <row r="2" spans="1:19" ht="22.9" thickBot="1" x14ac:dyDescent="0.65">
      <c r="A2" s="118"/>
    </row>
    <row r="3" spans="1:19" ht="28.9" customHeight="1" x14ac:dyDescent="0.6">
      <c r="A3" s="118"/>
      <c r="B3" s="736" t="s">
        <v>336</v>
      </c>
      <c r="C3" s="737"/>
      <c r="D3" s="738"/>
      <c r="E3" s="760" t="s">
        <v>389</v>
      </c>
      <c r="F3" s="761"/>
      <c r="G3" s="761"/>
      <c r="H3" s="761"/>
      <c r="I3" s="761"/>
      <c r="J3" s="761"/>
      <c r="K3" s="761"/>
      <c r="L3" s="761"/>
      <c r="M3" s="761"/>
      <c r="N3" s="761"/>
      <c r="O3" s="761"/>
      <c r="P3" s="761"/>
      <c r="Q3" s="761"/>
      <c r="R3" s="761"/>
      <c r="S3" s="762"/>
    </row>
    <row r="4" spans="1:19" ht="27.6" customHeight="1" thickBot="1" x14ac:dyDescent="0.4">
      <c r="B4" s="739"/>
      <c r="C4" s="740"/>
      <c r="D4" s="741"/>
      <c r="E4" s="763" t="s">
        <v>353</v>
      </c>
      <c r="F4" s="764"/>
      <c r="G4" s="764"/>
      <c r="H4" s="764" t="s">
        <v>357</v>
      </c>
      <c r="I4" s="764"/>
      <c r="J4" s="764"/>
      <c r="K4" s="764" t="s">
        <v>358</v>
      </c>
      <c r="L4" s="764"/>
      <c r="M4" s="764"/>
      <c r="N4" s="765" t="s">
        <v>438</v>
      </c>
      <c r="O4" s="766"/>
      <c r="P4" s="767"/>
      <c r="Q4" s="764" t="s">
        <v>359</v>
      </c>
      <c r="R4" s="764"/>
      <c r="S4" s="768"/>
    </row>
    <row r="5" spans="1:19" ht="36" customHeight="1" thickBot="1" x14ac:dyDescent="0.4">
      <c r="A5" s="269" t="s">
        <v>63</v>
      </c>
      <c r="B5" s="263" t="s">
        <v>356</v>
      </c>
      <c r="C5" s="257" t="s">
        <v>64</v>
      </c>
      <c r="D5" s="258" t="s">
        <v>354</v>
      </c>
      <c r="E5" s="264" t="s">
        <v>356</v>
      </c>
      <c r="F5" s="259" t="s">
        <v>64</v>
      </c>
      <c r="G5" s="260" t="s">
        <v>355</v>
      </c>
      <c r="H5" s="259" t="s">
        <v>356</v>
      </c>
      <c r="I5" s="259" t="s">
        <v>64</v>
      </c>
      <c r="J5" s="260" t="s">
        <v>355</v>
      </c>
      <c r="K5" s="259" t="s">
        <v>356</v>
      </c>
      <c r="L5" s="259" t="s">
        <v>64</v>
      </c>
      <c r="M5" s="260" t="s">
        <v>355</v>
      </c>
      <c r="N5" s="259" t="s">
        <v>356</v>
      </c>
      <c r="O5" s="259" t="s">
        <v>64</v>
      </c>
      <c r="P5" s="260" t="s">
        <v>355</v>
      </c>
      <c r="Q5" s="259" t="s">
        <v>356</v>
      </c>
      <c r="R5" s="259" t="s">
        <v>64</v>
      </c>
      <c r="S5" s="265" t="s">
        <v>355</v>
      </c>
    </row>
    <row r="6" spans="1:19" ht="19.899999999999999" customHeight="1" thickBot="1" x14ac:dyDescent="0.5">
      <c r="A6" s="342" t="str">
        <f>+'PROCESOS Baja'!A7</f>
        <v>MATERIAL RECEIPT</v>
      </c>
      <c r="B6" s="335">
        <f>SUM(B7:B12)</f>
        <v>2.0118302984255925</v>
      </c>
      <c r="C6" s="343">
        <v>2</v>
      </c>
      <c r="D6" s="338">
        <f>+B6/C6</f>
        <v>1.0059151492127962</v>
      </c>
      <c r="E6" s="335">
        <f>SUM(E7:E12)</f>
        <v>0.62358599771543266</v>
      </c>
      <c r="F6" s="336">
        <v>1</v>
      </c>
      <c r="G6" s="338">
        <f>+E6/F6</f>
        <v>0.62358599771543266</v>
      </c>
      <c r="H6" s="344"/>
      <c r="I6" s="337">
        <v>1</v>
      </c>
      <c r="J6" s="339"/>
      <c r="K6" s="339"/>
      <c r="L6" s="339"/>
      <c r="M6" s="339"/>
      <c r="N6" s="339"/>
      <c r="O6" s="339"/>
      <c r="P6" s="339"/>
      <c r="Q6" s="339"/>
      <c r="R6" s="339"/>
      <c r="S6" s="345"/>
    </row>
    <row r="7" spans="1:19" ht="19.899999999999999" customHeight="1" x14ac:dyDescent="0.45">
      <c r="A7" s="546" t="str">
        <f>+'PROCESOS Alta'!A8</f>
        <v>Recepción convencional</v>
      </c>
      <c r="B7" s="549">
        <f>+'PROCESOS Alta'!L48</f>
        <v>1.3441045774580147</v>
      </c>
      <c r="C7" s="496"/>
      <c r="D7" s="497"/>
      <c r="E7" s="552">
        <f>+'PROCESOS Alta'!M48</f>
        <v>0.30455803285234506</v>
      </c>
      <c r="F7" s="384"/>
      <c r="G7" s="358"/>
      <c r="H7" s="353"/>
      <c r="I7" s="386"/>
      <c r="J7" s="353"/>
      <c r="K7" s="356"/>
      <c r="L7" s="386"/>
      <c r="M7" s="354"/>
      <c r="N7" s="353"/>
      <c r="O7" s="386"/>
      <c r="P7" s="353"/>
      <c r="Q7" s="356"/>
      <c r="R7" s="386"/>
      <c r="S7" s="359"/>
    </row>
    <row r="8" spans="1:19" ht="19.899999999999999" customHeight="1" x14ac:dyDescent="0.45">
      <c r="A8" s="547" t="str">
        <f>+'PROCESOS Alta'!A50</f>
        <v>Recepción material de Chapa 3D/2D finalizado</v>
      </c>
      <c r="B8" s="550">
        <f>+'PROCESOS Alta'!L73</f>
        <v>0.18278349732085425</v>
      </c>
      <c r="C8" s="498"/>
      <c r="D8" s="499"/>
      <c r="E8" s="550">
        <f>+'PROCESOS Alta'!M73</f>
        <v>4.8343617782404695E-2</v>
      </c>
      <c r="F8" s="454"/>
      <c r="G8" s="449"/>
      <c r="H8" s="450"/>
      <c r="I8" s="328"/>
      <c r="J8" s="450"/>
      <c r="K8" s="451"/>
      <c r="L8" s="320"/>
      <c r="M8" s="452"/>
      <c r="N8" s="450"/>
      <c r="O8" s="320"/>
      <c r="P8" s="450"/>
      <c r="Q8" s="451"/>
      <c r="R8" s="320"/>
      <c r="S8" s="453"/>
    </row>
    <row r="9" spans="1:19" ht="19.899999999999999" customHeight="1" x14ac:dyDescent="0.45">
      <c r="A9" s="547" t="str">
        <f>+'PROCESOS Alta'!A75</f>
        <v>Cargar camión con material para KATEA</v>
      </c>
      <c r="B9" s="550">
        <f>+'PROCESOS Alta'!L85</f>
        <v>4.0260765050167215E-2</v>
      </c>
      <c r="C9" s="498"/>
      <c r="D9" s="499"/>
      <c r="E9" s="550">
        <f>+'PROCESOS Alta'!M73</f>
        <v>4.8343617782404695E-2</v>
      </c>
      <c r="F9" s="454"/>
      <c r="G9" s="449"/>
      <c r="H9" s="450"/>
      <c r="I9" s="328"/>
      <c r="J9" s="450"/>
      <c r="K9" s="451"/>
      <c r="L9" s="320"/>
      <c r="M9" s="452"/>
      <c r="N9" s="450"/>
      <c r="O9" s="320"/>
      <c r="P9" s="450"/>
      <c r="Q9" s="451"/>
      <c r="R9" s="320"/>
      <c r="S9" s="453"/>
    </row>
    <row r="10" spans="1:19" ht="19.899999999999999" customHeight="1" x14ac:dyDescent="0.45">
      <c r="A10" s="547" t="str">
        <f>+'PROCESOS Alta'!A87</f>
        <v xml:space="preserve">Cargar SAT </v>
      </c>
      <c r="B10" s="550">
        <f>+'PROCESOS Alta'!L96</f>
        <v>4.722756410256411E-2</v>
      </c>
      <c r="C10" s="498"/>
      <c r="D10" s="499"/>
      <c r="E10" s="550">
        <f>+'PROCESOS Alta'!M96</f>
        <v>2.3613782051282055E-2</v>
      </c>
      <c r="F10" s="454"/>
      <c r="G10" s="449"/>
      <c r="H10" s="450"/>
      <c r="I10" s="328"/>
      <c r="J10" s="450"/>
      <c r="K10" s="451"/>
      <c r="L10" s="320"/>
      <c r="M10" s="452"/>
      <c r="N10" s="450"/>
      <c r="O10" s="320"/>
      <c r="P10" s="450"/>
      <c r="Q10" s="451"/>
      <c r="R10" s="320"/>
      <c r="S10" s="453"/>
    </row>
    <row r="11" spans="1:19" ht="19.899999999999999" customHeight="1" x14ac:dyDescent="0.45">
      <c r="A11" s="548" t="str">
        <f>+'PROCESOS Alta'!A98</f>
        <v>Cargar material para Subcontratistas y devoluciones a proveedor</v>
      </c>
      <c r="B11" s="550">
        <f>+'PROCESOS Alta'!L107</f>
        <v>0.1824714673913044</v>
      </c>
      <c r="C11" s="498"/>
      <c r="D11" s="499"/>
      <c r="E11" s="550">
        <f>+'PROCESOS Alta'!M107</f>
        <v>9.1235733695652202E-2</v>
      </c>
      <c r="F11" s="232"/>
      <c r="G11" s="449"/>
      <c r="H11" s="450"/>
      <c r="I11" s="320"/>
      <c r="J11" s="450"/>
      <c r="K11" s="451"/>
      <c r="L11" s="320"/>
      <c r="M11" s="452"/>
      <c r="N11" s="450"/>
      <c r="O11" s="320"/>
      <c r="P11" s="450"/>
      <c r="Q11" s="451"/>
      <c r="R11" s="320"/>
      <c r="S11" s="453"/>
    </row>
    <row r="12" spans="1:19" ht="19.899999999999999" customHeight="1" thickBot="1" x14ac:dyDescent="0.5">
      <c r="A12" s="546" t="str">
        <f>+'PROCESOS Alta'!A109</f>
        <v>Descargar China (temporal, material del día siguiente)</v>
      </c>
      <c r="B12" s="551">
        <f>+'PROCESOS Alta'!L118</f>
        <v>0.21498242710268795</v>
      </c>
      <c r="C12" s="500"/>
      <c r="D12" s="438"/>
      <c r="E12" s="551">
        <f>+'PROCESOS Alta'!M118</f>
        <v>0.10749121355134397</v>
      </c>
      <c r="F12" s="455"/>
      <c r="G12" s="302"/>
      <c r="H12" s="314"/>
      <c r="I12" s="456"/>
      <c r="J12" s="314"/>
      <c r="K12" s="357"/>
      <c r="L12" s="456"/>
      <c r="M12" s="355"/>
      <c r="N12" s="314"/>
      <c r="O12" s="456"/>
      <c r="P12" s="314"/>
      <c r="Q12" s="357"/>
      <c r="R12" s="456"/>
      <c r="S12" s="315"/>
    </row>
    <row r="13" spans="1:19" ht="19.899999999999999" customHeight="1" thickBot="1" x14ac:dyDescent="0.5">
      <c r="A13" s="556" t="str">
        <f>+'PROCESOS Baja'!A123</f>
        <v>TRASVASE CONTENEDORES CORRECTOS EN LINEA</v>
      </c>
      <c r="B13" s="557">
        <f>+'PROCESOS Alta'!L133</f>
        <v>1.8672478559519385</v>
      </c>
      <c r="C13" s="500">
        <v>2</v>
      </c>
      <c r="D13" s="501">
        <f>+'PROCESOS Baja'!L135</f>
        <v>0.71729643246934238</v>
      </c>
      <c r="E13" s="502"/>
      <c r="F13" s="285"/>
      <c r="G13" s="285"/>
      <c r="H13" s="558">
        <f>+'PROCESOS Alta'!N133</f>
        <v>0.13386765022110739</v>
      </c>
      <c r="I13" s="316">
        <f>+'PROCESOS Baja'!N134</f>
        <v>1</v>
      </c>
      <c r="J13" s="317">
        <f>+'PROCESOS Baja'!N135</f>
        <v>0.10284953614548493</v>
      </c>
      <c r="K13" s="285"/>
      <c r="L13" s="285"/>
      <c r="M13" s="285"/>
      <c r="N13" s="285"/>
      <c r="O13" s="285"/>
      <c r="P13" s="285"/>
      <c r="Q13" s="285"/>
      <c r="R13" s="285"/>
      <c r="S13" s="318"/>
    </row>
    <row r="14" spans="1:19" ht="19.899999999999999" customHeight="1" thickBot="1" x14ac:dyDescent="0.5">
      <c r="A14" s="538" t="str">
        <f>+'PROCESOS Baja'!A137</f>
        <v>UBICACIÓN MATERIAL</v>
      </c>
      <c r="B14" s="335"/>
      <c r="C14" s="336"/>
      <c r="D14" s="503"/>
      <c r="E14" s="504"/>
      <c r="F14" s="337"/>
      <c r="G14" s="338"/>
      <c r="H14" s="339"/>
      <c r="I14" s="339"/>
      <c r="J14" s="339"/>
      <c r="K14" s="339"/>
      <c r="L14" s="339"/>
      <c r="M14" s="339"/>
      <c r="N14" s="339"/>
      <c r="O14" s="339"/>
      <c r="P14" s="339"/>
      <c r="Q14" s="340">
        <f>+Q15+Q16</f>
        <v>0.86616350968499434</v>
      </c>
      <c r="R14" s="336">
        <v>1</v>
      </c>
      <c r="S14" s="341">
        <f>+Q14/R14</f>
        <v>0.86616350968499434</v>
      </c>
    </row>
    <row r="15" spans="1:19" ht="19.899999999999999" customHeight="1" x14ac:dyDescent="0.4">
      <c r="A15" s="559" t="str">
        <f>+'PROCESOS Alta'!A138</f>
        <v>Ubicar cajas de Proveedor desde Recepciones (Proveedor + Chapa 3D+China almacén central)</v>
      </c>
      <c r="B15" s="562">
        <f>+'PROCESOS Alta'!L144</f>
        <v>1.5353589499430105</v>
      </c>
      <c r="C15" s="505">
        <v>4</v>
      </c>
      <c r="D15" s="566">
        <f>+(B15+B16+B19+B20+B21+B22)/C15</f>
        <v>0.87280667697026482</v>
      </c>
      <c r="E15" s="502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567">
        <f>+'PROCESOS Alta'!Q144</f>
        <v>0.76767947497150524</v>
      </c>
      <c r="R15" s="333"/>
      <c r="S15" s="334"/>
    </row>
    <row r="16" spans="1:19" ht="19.899999999999999" customHeight="1" x14ac:dyDescent="0.4">
      <c r="A16" s="560" t="str">
        <f>+'PROCESOS Alta'!A146</f>
        <v>Ubicar en almacén central chapa 3D pasando por diferentes máquinas de chapa. Playa &gt; Almacén</v>
      </c>
      <c r="B16" s="563">
        <f>+'PROCESOS Alta'!L152</f>
        <v>0.19696806942697812</v>
      </c>
      <c r="C16" s="232"/>
      <c r="D16" s="506"/>
      <c r="E16" s="507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568">
        <f>+'PROCESOS Alta'!Q152</f>
        <v>9.8484034713489058E-2</v>
      </c>
      <c r="R16" s="321"/>
      <c r="S16" s="322"/>
    </row>
    <row r="17" spans="1:19" ht="19.899999999999999" customHeight="1" thickBot="1" x14ac:dyDescent="0.5">
      <c r="A17" s="560" t="str">
        <f>+'PROCESOS Alta'!A154</f>
        <v>Ubicar Armazones en Almacén Central desde ubicación alm. material chapa 3D interno</v>
      </c>
      <c r="B17" s="563">
        <f>+'PROCESOS Alta'!L161</f>
        <v>5.4091694537346715E-3</v>
      </c>
      <c r="C17" s="232"/>
      <c r="D17" s="508"/>
      <c r="E17" s="509"/>
      <c r="F17" s="330"/>
      <c r="G17" s="382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324"/>
    </row>
    <row r="18" spans="1:19" ht="19.899999999999999" customHeight="1" x14ac:dyDescent="0.45">
      <c r="A18" s="539" t="str">
        <f>+'PROCESOS Baja'!A163</f>
        <v>DESUBICACIÓN MATERIAL ALMACÉN (8 - 120)</v>
      </c>
      <c r="B18" s="511"/>
      <c r="C18" s="512"/>
      <c r="D18" s="513"/>
      <c r="E18" s="514"/>
      <c r="F18" s="327"/>
      <c r="G18" s="272"/>
      <c r="H18" s="272"/>
      <c r="I18" s="327"/>
      <c r="J18" s="272"/>
      <c r="K18" s="272"/>
      <c r="L18" s="327"/>
      <c r="M18" s="272"/>
      <c r="N18" s="272"/>
      <c r="O18" s="272"/>
      <c r="P18" s="272"/>
      <c r="Q18" s="542">
        <f>+Q19+Q20+Q21+Q22</f>
        <v>0.87322611729428778</v>
      </c>
      <c r="R18" s="313">
        <v>1</v>
      </c>
      <c r="S18" s="319">
        <f>+Q18/R18</f>
        <v>0.87322611729428778</v>
      </c>
    </row>
    <row r="19" spans="1:19" ht="19.899999999999999" customHeight="1" x14ac:dyDescent="0.45">
      <c r="A19" s="560" t="str">
        <f>+'PROCESOS Alta'!A164</f>
        <v>Desubicación desde almacén (caótico) a Picking (zona fija) 8 - 120 Kg. Almacen caótico &gt; Almacén Picking</v>
      </c>
      <c r="B19" s="561">
        <f>+'PROCESOS Alta'!L176</f>
        <v>0.118542085861204</v>
      </c>
      <c r="C19" s="515"/>
      <c r="D19" s="508"/>
      <c r="E19" s="516"/>
      <c r="F19" s="328"/>
      <c r="G19" s="320"/>
      <c r="H19" s="320"/>
      <c r="I19" s="328"/>
      <c r="J19" s="320"/>
      <c r="K19" s="320"/>
      <c r="L19" s="328"/>
      <c r="M19" s="320"/>
      <c r="N19" s="320"/>
      <c r="O19" s="320"/>
      <c r="P19" s="320"/>
      <c r="Q19" s="564">
        <f>+'PROCESOS Alta'!Q176</f>
        <v>5.9271042930602001E-2</v>
      </c>
      <c r="R19" s="328"/>
      <c r="S19" s="323"/>
    </row>
    <row r="20" spans="1:19" ht="19.899999999999999" customHeight="1" x14ac:dyDescent="0.45">
      <c r="A20" s="560" t="str">
        <f>+'PROCESOS Alta'!A178</f>
        <v>Desubicación cajas componentes kanban a premontajes/"Sidreria" (8 - 120 kg.) Almacén &gt; Playa</v>
      </c>
      <c r="B20" s="561">
        <f>+'PROCESOS Alta'!L197</f>
        <v>0.96613174941451363</v>
      </c>
      <c r="C20" s="515"/>
      <c r="D20" s="508"/>
      <c r="E20" s="516"/>
      <c r="F20" s="328"/>
      <c r="G20" s="320"/>
      <c r="H20" s="320"/>
      <c r="I20" s="328"/>
      <c r="J20" s="320"/>
      <c r="K20" s="320"/>
      <c r="L20" s="328"/>
      <c r="M20" s="320"/>
      <c r="N20" s="320"/>
      <c r="O20" s="320"/>
      <c r="P20" s="320"/>
      <c r="Q20" s="564">
        <f>+'PROCESOS Alta'!Q197</f>
        <v>0.47684214774600914</v>
      </c>
      <c r="R20" s="328"/>
      <c r="S20" s="323"/>
    </row>
    <row r="21" spans="1:19" ht="19.899999999999999" customHeight="1" x14ac:dyDescent="0.45">
      <c r="A21" s="560" t="str">
        <f>+'PROCESOS Alta'!A199</f>
        <v>Desubicar Chapa del almacén central hacia premontajes  Almacén &gt; Playa</v>
      </c>
      <c r="B21" s="561">
        <f>+'PROCESOS Alta'!L207</f>
        <v>0.41997587755247345</v>
      </c>
      <c r="C21" s="515"/>
      <c r="D21" s="508"/>
      <c r="E21" s="516"/>
      <c r="F21" s="328"/>
      <c r="G21" s="320"/>
      <c r="H21" s="320"/>
      <c r="I21" s="328"/>
      <c r="J21" s="320"/>
      <c r="K21" s="320"/>
      <c r="L21" s="328"/>
      <c r="M21" s="320"/>
      <c r="N21" s="320"/>
      <c r="O21" s="320"/>
      <c r="P21" s="320"/>
      <c r="Q21" s="565">
        <f>+'PROCESOS Alta'!Q207</f>
        <v>0.20998793877623673</v>
      </c>
      <c r="R21" s="328"/>
      <c r="S21" s="323"/>
    </row>
    <row r="22" spans="1:19" ht="19.899999999999999" customHeight="1" x14ac:dyDescent="0.45">
      <c r="A22" s="560" t="str">
        <f>+'PROCESOS Alta'!A209</f>
        <v>Desubicar China del Almacén central hacía premontajes. Almacén &gt; Playa</v>
      </c>
      <c r="B22" s="561">
        <f>+'PROCESOS Alta'!L217</f>
        <v>0.25424997568287971</v>
      </c>
      <c r="C22" s="515"/>
      <c r="D22" s="508"/>
      <c r="E22" s="516"/>
      <c r="F22" s="328"/>
      <c r="G22" s="320"/>
      <c r="H22" s="320"/>
      <c r="I22" s="328"/>
      <c r="J22" s="320"/>
      <c r="K22" s="320"/>
      <c r="L22" s="328"/>
      <c r="M22" s="320"/>
      <c r="N22" s="320"/>
      <c r="O22" s="320"/>
      <c r="P22" s="320"/>
      <c r="Q22" s="565">
        <f>+'PROCESOS Alta'!Q217</f>
        <v>0.12712498784143986</v>
      </c>
      <c r="R22" s="328"/>
      <c r="S22" s="323"/>
    </row>
    <row r="23" spans="1:19" ht="19.899999999999999" customHeight="1" x14ac:dyDescent="0.45">
      <c r="A23" s="649" t="str">
        <f>+'PROCESOS Alta'!A612</f>
        <v>Llevar China del Almacén automático hacia playa de salida. Almacén automático &gt; Playa</v>
      </c>
      <c r="B23" s="647">
        <f>+'PROCESOS Alta'!L617</f>
        <v>6.913588913143498E-2</v>
      </c>
      <c r="C23" s="515"/>
      <c r="D23" s="508"/>
      <c r="E23" s="517">
        <f>+'PROCESOS Alta'!M617</f>
        <v>3.456794456571749E-2</v>
      </c>
      <c r="F23" s="328"/>
      <c r="G23" s="320"/>
      <c r="H23" s="320"/>
      <c r="I23" s="328"/>
      <c r="J23" s="320"/>
      <c r="K23" s="320"/>
      <c r="L23" s="328"/>
      <c r="M23" s="320"/>
      <c r="N23" s="320"/>
      <c r="O23" s="320"/>
      <c r="P23" s="320"/>
      <c r="Q23" s="320"/>
      <c r="R23" s="328"/>
      <c r="S23" s="323"/>
    </row>
    <row r="24" spans="1:19" ht="19.899999999999999" customHeight="1" thickBot="1" x14ac:dyDescent="0.45">
      <c r="A24" s="540"/>
      <c r="B24" s="510"/>
      <c r="C24" s="518"/>
      <c r="D24" s="519"/>
      <c r="E24" s="520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6"/>
    </row>
    <row r="25" spans="1:19" ht="19.899999999999999" customHeight="1" x14ac:dyDescent="0.45">
      <c r="A25" s="539" t="str">
        <f>+'PROCESOS Baja'!A219</f>
        <v>SUMINISTRO LINEAS DE PREMONTAJE Y PETICIÓN KANBAN</v>
      </c>
      <c r="B25" s="511"/>
      <c r="C25" s="512"/>
      <c r="D25" s="521"/>
      <c r="E25" s="514"/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329"/>
    </row>
    <row r="26" spans="1:19" ht="19.899999999999999" customHeight="1" x14ac:dyDescent="0.45">
      <c r="A26" s="585" t="str">
        <f>+'PROCESOS Alta'!A220</f>
        <v>Cajas desde Playa hasta premontajes/eroski L1/L2</v>
      </c>
      <c r="B26" s="587">
        <f>+'PROCESOS Alta'!L230</f>
        <v>0.80291209698149557</v>
      </c>
      <c r="C26" s="522">
        <v>2</v>
      </c>
      <c r="D26" s="523">
        <f>+(B26+B30+B31)/C26</f>
        <v>0.44333226279025345</v>
      </c>
      <c r="E26" s="517">
        <f>+'PROCESOS Baja'!M230</f>
        <v>0.31630434782608696</v>
      </c>
      <c r="F26" s="320"/>
      <c r="G26" s="320"/>
      <c r="H26" s="320"/>
      <c r="I26" s="320"/>
      <c r="J26" s="320"/>
      <c r="K26" s="328"/>
      <c r="L26" s="321"/>
      <c r="M26" s="366"/>
      <c r="N26" s="320"/>
      <c r="O26" s="320"/>
      <c r="P26" s="320"/>
      <c r="Q26" s="320"/>
      <c r="R26" s="320"/>
      <c r="S26" s="323"/>
    </row>
    <row r="27" spans="1:19" ht="19.899999999999999" customHeight="1" x14ac:dyDescent="0.45">
      <c r="A27" s="585" t="str">
        <f>+'PROCESOS Alta'!A238</f>
        <v>CHAPA desde la playa de salida hasta los premontajes Todo</v>
      </c>
      <c r="B27" s="587">
        <f>+'PROCESOS Alta'!L250</f>
        <v>0.77727815517978949</v>
      </c>
      <c r="C27" s="522"/>
      <c r="D27" s="523"/>
      <c r="E27" s="524">
        <f>+'PROCESOS Baja'!M250</f>
        <v>0.29858855961174841</v>
      </c>
      <c r="F27" s="321">
        <v>1</v>
      </c>
      <c r="G27" s="366">
        <f>(E27+E28)/F27</f>
        <v>0.35725837492204193</v>
      </c>
      <c r="H27" s="320"/>
      <c r="I27" s="320"/>
      <c r="J27" s="320"/>
      <c r="K27" s="328"/>
      <c r="L27" s="321"/>
      <c r="M27" s="321"/>
      <c r="N27" s="320"/>
      <c r="O27" s="320"/>
      <c r="P27" s="320"/>
      <c r="Q27" s="320"/>
      <c r="R27" s="320"/>
      <c r="S27" s="323"/>
    </row>
    <row r="28" spans="1:19" ht="19.899999999999999" customHeight="1" x14ac:dyDescent="0.45">
      <c r="A28" s="586" t="str">
        <f>+'PROCESOS Alta'!A252</f>
        <v>CHINA desde playa de salida hasta los premontajes L1/L2</v>
      </c>
      <c r="B28" s="587">
        <f>+'PROCESOS Alta'!L262</f>
        <v>0.26660050917520473</v>
      </c>
      <c r="C28" s="522"/>
      <c r="D28" s="523"/>
      <c r="E28" s="524">
        <f>+'PROCESOS Baja'!M262</f>
        <v>5.8669815310293555E-2</v>
      </c>
      <c r="F28" s="320"/>
      <c r="G28" s="320"/>
      <c r="H28" s="320"/>
      <c r="I28" s="320"/>
      <c r="J28" s="320"/>
      <c r="K28" s="320"/>
      <c r="L28" s="321"/>
      <c r="M28" s="321"/>
      <c r="N28" s="320"/>
      <c r="O28" s="320"/>
      <c r="P28" s="320"/>
      <c r="Q28" s="320"/>
      <c r="R28" s="320"/>
      <c r="S28" s="323"/>
    </row>
    <row r="29" spans="1:19" ht="19.899999999999999" customHeight="1" x14ac:dyDescent="0.45">
      <c r="A29" s="585" t="str">
        <f>+'PROCESOS Alta'!A264</f>
        <v>Cajas componentes y CHINA desde Playa de salida hasta Linea 3. SOLO MAÑANA</v>
      </c>
      <c r="B29" s="587">
        <f>+'PROCESOS Alta'!L274</f>
        <v>4.4594872675526295E-2</v>
      </c>
      <c r="C29" s="522"/>
      <c r="D29" s="523"/>
      <c r="E29" s="524">
        <f>+'PROCESOS Baja'!M274</f>
        <v>1.8484215421776289E-2</v>
      </c>
      <c r="F29" s="320"/>
      <c r="G29" s="320"/>
      <c r="H29" s="320"/>
      <c r="I29" s="320"/>
      <c r="J29" s="320"/>
      <c r="K29" s="320"/>
      <c r="L29" s="321"/>
      <c r="M29" s="321"/>
      <c r="N29" s="320"/>
      <c r="O29" s="320"/>
      <c r="P29" s="320"/>
      <c r="Q29" s="320"/>
      <c r="R29" s="320"/>
      <c r="S29" s="323"/>
    </row>
    <row r="30" spans="1:19" ht="19.899999999999999" customHeight="1" x14ac:dyDescent="0.45">
      <c r="A30" s="646" t="str">
        <f>+'PROCESOS Alta'!A276</f>
        <v>Würth desde zona de salida hasta premontajes/Línea 1</v>
      </c>
      <c r="B30" s="647">
        <f>+'PROCESOS Alta'!L286</f>
        <v>4.6330983956193034E-2</v>
      </c>
      <c r="C30" s="522"/>
      <c r="D30" s="523"/>
      <c r="E30" s="516"/>
      <c r="F30" s="320"/>
      <c r="G30" s="320"/>
      <c r="H30" s="320"/>
      <c r="I30" s="320"/>
      <c r="J30" s="320"/>
      <c r="K30" s="328">
        <f>+'PROCESOS Baja'!P286</f>
        <v>0</v>
      </c>
      <c r="L30" s="321"/>
      <c r="M30" s="321"/>
      <c r="N30" s="320"/>
      <c r="O30" s="320"/>
      <c r="P30" s="320"/>
      <c r="Q30" s="320"/>
      <c r="R30" s="320"/>
      <c r="S30" s="323"/>
    </row>
    <row r="31" spans="1:19" ht="19.899999999999999" customHeight="1" x14ac:dyDescent="0.45">
      <c r="A31" s="646" t="str">
        <f>+'PROCESOS Alta'!A288</f>
        <v>Würth desde zona de salida hasta premontajes/Línea L2/L3</v>
      </c>
      <c r="B31" s="647">
        <f>+'PROCESOS Alta'!L298</f>
        <v>3.7421444642818297E-2</v>
      </c>
      <c r="C31" s="522"/>
      <c r="D31" s="523"/>
      <c r="E31" s="516"/>
      <c r="F31" s="320"/>
      <c r="G31" s="320"/>
      <c r="H31" s="320"/>
      <c r="I31" s="320"/>
      <c r="J31" s="320"/>
      <c r="K31" s="328">
        <f>+'PROCESOS Baja'!P298</f>
        <v>0</v>
      </c>
      <c r="L31" s="320"/>
      <c r="M31" s="321"/>
      <c r="N31" s="320"/>
      <c r="O31" s="320"/>
      <c r="P31" s="320"/>
      <c r="Q31" s="320"/>
      <c r="R31" s="320"/>
      <c r="S31" s="323"/>
    </row>
    <row r="32" spans="1:19" ht="19.899999999999999" customHeight="1" x14ac:dyDescent="0.45">
      <c r="A32" s="582" t="str">
        <f>+'PROCESOS Alta'!A300</f>
        <v>Carros secuenciados desde "Sidreria" hasta Linea 1</v>
      </c>
      <c r="B32" s="583">
        <f>+'PROCESOS Alta'!L316</f>
        <v>3.9029092370098395</v>
      </c>
      <c r="C32" s="522">
        <v>6</v>
      </c>
      <c r="D32" s="523">
        <f>(+B32+B33)/C32</f>
        <v>0.84019398178442373</v>
      </c>
      <c r="E32" s="516"/>
      <c r="F32" s="320"/>
      <c r="G32" s="320"/>
      <c r="H32" s="328"/>
      <c r="I32" s="320"/>
      <c r="J32" s="320"/>
      <c r="K32" s="584">
        <f>+'PROCESOS Baja'!P316</f>
        <v>1.4310667202369411</v>
      </c>
      <c r="L32" s="321">
        <v>2</v>
      </c>
      <c r="M32" s="366">
        <f>+(K32+K33)/L32</f>
        <v>0.97164065720022863</v>
      </c>
      <c r="N32" s="320"/>
      <c r="O32" s="320"/>
      <c r="P32" s="320"/>
      <c r="Q32" s="320"/>
      <c r="R32" s="320"/>
      <c r="S32" s="323"/>
    </row>
    <row r="33" spans="1:19" ht="19.899999999999999" customHeight="1" x14ac:dyDescent="0.45">
      <c r="A33" s="582" t="str">
        <f>+'PROCESOS Alta'!A318</f>
        <v>Carros secuenciados desde "Sidreria" hasta Linea 2</v>
      </c>
      <c r="B33" s="583">
        <f>+'PROCESOS Alta'!L334</f>
        <v>1.1382546536967024</v>
      </c>
      <c r="C33" s="522"/>
      <c r="D33" s="523"/>
      <c r="E33" s="524"/>
      <c r="F33" s="321"/>
      <c r="G33" s="320"/>
      <c r="H33" s="328"/>
      <c r="I33" s="320"/>
      <c r="J33" s="320"/>
      <c r="K33" s="584">
        <f>+'PROCESOS Baja'!P334</f>
        <v>0.51221459416351611</v>
      </c>
      <c r="L33" s="321">
        <v>1</v>
      </c>
      <c r="M33" s="366">
        <f>+K33/L33</f>
        <v>0.51221459416351611</v>
      </c>
      <c r="N33" s="320"/>
      <c r="O33" s="320"/>
      <c r="P33" s="320"/>
      <c r="Q33" s="320"/>
      <c r="R33" s="320"/>
      <c r="S33" s="323"/>
    </row>
    <row r="34" spans="1:19" ht="19.899999999999999" customHeight="1" x14ac:dyDescent="0.45">
      <c r="A34" s="644" t="str">
        <f>+'PROCESOS Alta'!A336</f>
        <v>Suministro desde Dobladora hasta Premontaje L1</v>
      </c>
      <c r="B34" s="645">
        <f>+'PROCESOS Alta'!L347</f>
        <v>0.16613618996166618</v>
      </c>
      <c r="C34" s="522"/>
      <c r="D34" s="523"/>
      <c r="E34" s="525">
        <f>+'PROCESOS Baja'!M347</f>
        <v>6.5854008631461569E-2</v>
      </c>
      <c r="F34" s="330"/>
      <c r="G34" s="284"/>
      <c r="H34" s="331"/>
      <c r="I34" s="284"/>
      <c r="J34" s="284"/>
      <c r="K34" s="331"/>
      <c r="L34" s="330"/>
      <c r="M34" s="479"/>
      <c r="N34" s="284"/>
      <c r="O34" s="284"/>
      <c r="P34" s="284"/>
      <c r="Q34" s="284"/>
      <c r="R34" s="284"/>
      <c r="S34" s="324"/>
    </row>
    <row r="35" spans="1:19" ht="19.899999999999999" customHeight="1" x14ac:dyDescent="0.45">
      <c r="A35" s="644" t="str">
        <f>+'PROCESOS Alta'!A349</f>
        <v>Suministro desde Dobladora hasta Premontaje L2</v>
      </c>
      <c r="B35" s="645">
        <f>+'PROCESOS Alta'!L360</f>
        <v>0.22042562241527563</v>
      </c>
      <c r="C35" s="522"/>
      <c r="D35" s="523"/>
      <c r="E35" s="525">
        <f>+'PROCESOS Baja'!M360</f>
        <v>8.4675696415624169E-2</v>
      </c>
      <c r="F35" s="330"/>
      <c r="G35" s="284"/>
      <c r="H35" s="331"/>
      <c r="I35" s="284"/>
      <c r="J35" s="284"/>
      <c r="K35" s="331"/>
      <c r="L35" s="330"/>
      <c r="M35" s="479"/>
      <c r="N35" s="284"/>
      <c r="O35" s="284"/>
      <c r="P35" s="284"/>
      <c r="Q35" s="284"/>
      <c r="R35" s="284"/>
      <c r="S35" s="324"/>
    </row>
    <row r="36" spans="1:19" ht="19.899999999999999" customHeight="1" x14ac:dyDescent="0.45">
      <c r="A36" s="644" t="str">
        <f>+'PROCESOS Alta'!A362</f>
        <v>Suministro desde Dobladora hasta Premontaje L3</v>
      </c>
      <c r="B36" s="645">
        <f>+'PROCESOS Alta'!L373</f>
        <v>4.3367805265808468E-3</v>
      </c>
      <c r="C36" s="522"/>
      <c r="D36" s="523"/>
      <c r="E36" s="525">
        <f>+'PROCESOS Baja'!M373</f>
        <v>1.6659583730158133E-3</v>
      </c>
      <c r="F36" s="330">
        <v>1</v>
      </c>
      <c r="G36" s="284"/>
      <c r="H36" s="331"/>
      <c r="I36" s="284"/>
      <c r="J36" s="284"/>
      <c r="K36" s="331"/>
      <c r="L36" s="330"/>
      <c r="M36" s="479"/>
      <c r="N36" s="284"/>
      <c r="O36" s="284"/>
      <c r="P36" s="284"/>
      <c r="Q36" s="284"/>
      <c r="R36" s="284"/>
      <c r="S36" s="324"/>
    </row>
    <row r="37" spans="1:19" ht="19.899999999999999" customHeight="1" x14ac:dyDescent="0.45">
      <c r="A37" s="651" t="str">
        <f>+'PROCESOS Alta'!A398</f>
        <v>Suministro MADERA a Premontaje (altas y bajas) L1</v>
      </c>
      <c r="B37" s="652">
        <f>+'PROCESOS Alta'!L406</f>
        <v>0.15632793060200667</v>
      </c>
      <c r="C37" s="522"/>
      <c r="D37" s="523"/>
      <c r="E37" s="525">
        <f>+'PROCESOS Baja'!M406</f>
        <v>5.7320241220735799E-2</v>
      </c>
      <c r="F37" s="330"/>
      <c r="G37" s="284"/>
      <c r="H37" s="331"/>
      <c r="I37" s="284"/>
      <c r="J37" s="284"/>
      <c r="K37" s="331"/>
      <c r="L37" s="284"/>
      <c r="M37" s="330"/>
      <c r="N37" s="284"/>
      <c r="O37" s="284"/>
      <c r="P37" s="284"/>
      <c r="Q37" s="284"/>
      <c r="R37" s="284"/>
      <c r="S37" s="324"/>
    </row>
    <row r="38" spans="1:19" ht="19.899999999999999" customHeight="1" x14ac:dyDescent="0.45">
      <c r="A38" s="651" t="str">
        <f>+'PROCESOS Alta'!A408</f>
        <v>Suministro MADERA a Premontaje (altas y bajas) L2/3</v>
      </c>
      <c r="B38" s="652">
        <f>+'PROCESOS Alta'!L416</f>
        <v>7.4274115384615397E-2</v>
      </c>
      <c r="C38" s="522"/>
      <c r="D38" s="523"/>
      <c r="E38" s="525">
        <f>+'PROCESOS Baja'!M416</f>
        <v>3.4384805392976593E-2</v>
      </c>
      <c r="F38" s="330"/>
      <c r="G38" s="284"/>
      <c r="H38" s="331"/>
      <c r="I38" s="284"/>
      <c r="J38" s="284"/>
      <c r="K38" s="331"/>
      <c r="L38" s="284"/>
      <c r="M38" s="330"/>
      <c r="N38" s="284"/>
      <c r="O38" s="284"/>
      <c r="P38" s="284"/>
      <c r="Q38" s="284"/>
      <c r="R38" s="284"/>
      <c r="S38" s="324"/>
    </row>
    <row r="39" spans="1:19" ht="19.899999999999999" customHeight="1" x14ac:dyDescent="0.45">
      <c r="A39" s="601" t="str">
        <f>+'PROCESOS Alta'!A418</f>
        <v>Suministro de Armazones desde almacén automático hasta Armazones</v>
      </c>
      <c r="B39" s="602">
        <f>+'PROCESOS Alta'!L423</f>
        <v>5.5299781493868459E-2</v>
      </c>
      <c r="C39" s="522"/>
      <c r="D39" s="523"/>
      <c r="E39" s="525">
        <f>+'PROCESOS Baja'!M423</f>
        <v>2.1428665328874025E-2</v>
      </c>
      <c r="F39" s="330"/>
      <c r="G39" s="284"/>
      <c r="H39" s="331"/>
      <c r="I39" s="284"/>
      <c r="J39" s="284"/>
      <c r="K39" s="331"/>
      <c r="L39" s="284"/>
      <c r="M39" s="330"/>
      <c r="N39" s="284"/>
      <c r="O39" s="284"/>
      <c r="P39" s="284"/>
      <c r="Q39" s="284"/>
      <c r="R39" s="284"/>
      <c r="S39" s="324"/>
    </row>
    <row r="40" spans="1:19" ht="19.899999999999999" customHeight="1" x14ac:dyDescent="0.45">
      <c r="A40" s="651" t="str">
        <f>+'PROCESOS Alta'!A425</f>
        <v>Suministro armazones bajas desde armazones hasta estanteria exterior</v>
      </c>
      <c r="B40" s="652">
        <f>+'PROCESOS Alta'!L429</f>
        <v>0.12177866963953923</v>
      </c>
      <c r="C40" s="522"/>
      <c r="D40" s="523"/>
      <c r="E40" s="525">
        <f>+'PROCESOS Baja'!M429</f>
        <v>4.7189234485321453E-2</v>
      </c>
      <c r="F40" s="330"/>
      <c r="G40" s="284"/>
      <c r="H40" s="331"/>
      <c r="I40" s="284"/>
      <c r="J40" s="284"/>
      <c r="K40" s="331"/>
      <c r="L40" s="284"/>
      <c r="M40" s="330"/>
      <c r="N40" s="284"/>
      <c r="O40" s="284"/>
      <c r="P40" s="284"/>
      <c r="Q40" s="284"/>
      <c r="R40" s="284"/>
      <c r="S40" s="324"/>
    </row>
    <row r="41" spans="1:19" ht="19.899999999999999" customHeight="1" thickBot="1" x14ac:dyDescent="0.5">
      <c r="A41" s="651" t="str">
        <f>+'PROCESOS Alta'!A431</f>
        <v>Suministro de armazones desde estantería exterior hasta premontaje bajas</v>
      </c>
      <c r="B41" s="652">
        <f>+'PROCESOS Alta'!L437</f>
        <v>0.19164808621330362</v>
      </c>
      <c r="C41" s="522"/>
      <c r="D41" s="523"/>
      <c r="E41" s="525">
        <f>+'PROCESOS Baja'!M437</f>
        <v>7.4263633407655155E-2</v>
      </c>
      <c r="F41" s="330"/>
      <c r="G41" s="284"/>
      <c r="H41" s="331"/>
      <c r="I41" s="284"/>
      <c r="J41" s="284"/>
      <c r="K41" s="331"/>
      <c r="L41" s="284"/>
      <c r="M41" s="330"/>
      <c r="N41" s="284"/>
      <c r="O41" s="284"/>
      <c r="P41" s="284"/>
      <c r="Q41" s="284"/>
      <c r="R41" s="284"/>
      <c r="S41" s="324"/>
    </row>
    <row r="42" spans="1:19" ht="19.899999999999999" customHeight="1" x14ac:dyDescent="0.45">
      <c r="A42" s="541" t="s">
        <v>663</v>
      </c>
      <c r="B42" s="526"/>
      <c r="C42" s="384"/>
      <c r="D42" s="527"/>
      <c r="E42" s="528"/>
      <c r="F42" s="385"/>
      <c r="G42" s="386"/>
      <c r="H42" s="387"/>
      <c r="I42" s="386"/>
      <c r="J42" s="386"/>
      <c r="K42" s="387"/>
      <c r="L42" s="386"/>
      <c r="M42" s="385"/>
      <c r="N42" s="386"/>
      <c r="O42" s="386"/>
      <c r="P42" s="386"/>
      <c r="Q42" s="386"/>
      <c r="R42" s="386"/>
      <c r="S42" s="388"/>
    </row>
    <row r="43" spans="1:19" ht="19.899999999999999" customHeight="1" x14ac:dyDescent="0.45">
      <c r="A43" s="585" t="str">
        <f>+'PROCESOS Alta'!A520</f>
        <v>Llevar envolventes a mecanizado</v>
      </c>
      <c r="B43" s="587">
        <f>+'PROCESOS Alta'!L527</f>
        <v>0.14692856976960239</v>
      </c>
      <c r="C43" s="232"/>
      <c r="D43" s="529"/>
      <c r="E43" s="524">
        <f>+'PROCESOS Baja'!M527</f>
        <v>5.6442072533444826E-2</v>
      </c>
      <c r="F43" s="321"/>
      <c r="G43" s="320"/>
      <c r="H43" s="328"/>
      <c r="I43" s="320"/>
      <c r="J43" s="320"/>
      <c r="K43" s="328"/>
      <c r="L43" s="320"/>
      <c r="M43" s="321"/>
      <c r="N43" s="320"/>
      <c r="O43" s="320"/>
      <c r="P43" s="320"/>
      <c r="Q43" s="320"/>
      <c r="R43" s="320"/>
      <c r="S43" s="323"/>
    </row>
    <row r="44" spans="1:19" ht="19.899999999999999" customHeight="1" x14ac:dyDescent="0.45">
      <c r="A44" s="573" t="str">
        <f>+'PROCESOS Alta'!A511</f>
        <v>Secuenciado de envolventes</v>
      </c>
      <c r="B44" s="641">
        <f>+'PROCESOS Alta'!L518</f>
        <v>0.44266992289111851</v>
      </c>
      <c r="C44" s="232">
        <v>2</v>
      </c>
      <c r="D44" s="529" t="e">
        <f>(B43+B44+B45+B46+B47+B48+B49+#REF!)/C44</f>
        <v>#REF!</v>
      </c>
      <c r="E44" s="524">
        <f>+'PROCESOS Baja'!M518</f>
        <v>2.4024456521739131E-2</v>
      </c>
      <c r="F44" s="321"/>
      <c r="G44" s="320"/>
      <c r="H44" s="328"/>
      <c r="I44" s="320"/>
      <c r="J44" s="320"/>
      <c r="K44" s="328"/>
      <c r="L44" s="320"/>
      <c r="M44" s="321"/>
      <c r="N44" s="320"/>
      <c r="O44" s="320"/>
      <c r="P44" s="320"/>
      <c r="Q44" s="320"/>
      <c r="R44" s="320"/>
      <c r="S44" s="323"/>
    </row>
    <row r="45" spans="1:19" ht="19.899999999999999" customHeight="1" x14ac:dyDescent="0.45">
      <c r="A45" s="653" t="str">
        <f>+'PROCESOS Alta'!A529</f>
        <v>Producto acabado de Tubos para Santxo y producto terminado</v>
      </c>
      <c r="B45" s="654">
        <f>+'PROCESOS Alta'!L536</f>
        <v>6.612836770717205E-2</v>
      </c>
      <c r="C45" s="232"/>
      <c r="D45" s="529"/>
      <c r="E45" s="524">
        <f>+'PROCESOS Baja'!M536</f>
        <v>3.3064183853586025E-2</v>
      </c>
      <c r="F45" s="321"/>
      <c r="G45" s="320"/>
      <c r="H45" s="328"/>
      <c r="I45" s="320"/>
      <c r="J45" s="320"/>
      <c r="K45" s="328"/>
      <c r="L45" s="320"/>
      <c r="M45" s="321"/>
      <c r="N45" s="320"/>
      <c r="O45" s="320"/>
      <c r="P45" s="320"/>
      <c r="Q45" s="320"/>
      <c r="R45" s="320"/>
      <c r="S45" s="323"/>
    </row>
    <row r="46" spans="1:19" ht="19.899999999999999" customHeight="1" x14ac:dyDescent="0.45">
      <c r="A46" s="646" t="str">
        <f>+'PROCESOS Alta'!A478</f>
        <v>Coger máquina de L2/L3 para llevar a montacargas</v>
      </c>
      <c r="B46" s="647">
        <f>+'PROCESOS Alta'!L483</f>
        <v>9.1888412764771471E-2</v>
      </c>
      <c r="C46" s="232"/>
      <c r="D46" s="529"/>
      <c r="E46" s="524">
        <f>+'PROCESOS Baja'!M483</f>
        <v>4.156856767930138E-2</v>
      </c>
      <c r="F46" s="321">
        <v>1</v>
      </c>
      <c r="G46" s="445" t="e">
        <f>+(#REF!+E43+E44+E45+E46+E47+E49+E55)/F46</f>
        <v>#REF!</v>
      </c>
      <c r="H46" s="328"/>
      <c r="I46" s="320"/>
      <c r="J46" s="320"/>
      <c r="K46" s="328"/>
      <c r="L46" s="320"/>
      <c r="M46" s="321"/>
      <c r="N46" s="320"/>
      <c r="O46" s="320"/>
      <c r="P46" s="320"/>
      <c r="Q46" s="320"/>
      <c r="R46" s="320"/>
      <c r="S46" s="323"/>
    </row>
    <row r="47" spans="1:19" ht="19.899999999999999" customHeight="1" x14ac:dyDescent="0.45">
      <c r="A47" s="653" t="str">
        <f>+'PROCESOS Alta'!A492</f>
        <v>Coger zocalos y KITs y meterlos en ascensor</v>
      </c>
      <c r="B47" s="654">
        <f>+'PROCESOS Alta'!L497</f>
        <v>3.3698773690078038E-2</v>
      </c>
      <c r="C47" s="232"/>
      <c r="D47" s="529"/>
      <c r="E47" s="524">
        <f>+'PROCESOS Baja'!M497</f>
        <v>1.6849386845039019E-2</v>
      </c>
      <c r="F47" s="321"/>
      <c r="G47" s="320"/>
      <c r="H47" s="328"/>
      <c r="I47" s="320"/>
      <c r="J47" s="320"/>
      <c r="K47" s="328"/>
      <c r="L47" s="320"/>
      <c r="M47" s="321"/>
      <c r="N47" s="320"/>
      <c r="O47" s="320"/>
      <c r="P47" s="320"/>
      <c r="Q47" s="320"/>
      <c r="R47" s="320"/>
      <c r="S47" s="323"/>
    </row>
    <row r="48" spans="1:19" ht="19.899999999999999" customHeight="1" x14ac:dyDescent="0.45">
      <c r="A48" s="653" t="str">
        <f>+'PROCESOS Alta'!A499</f>
        <v>Coger máquina de L3 y sacar a la calle</v>
      </c>
      <c r="B48" s="654">
        <f>+'PROCESOS Alta'!L509</f>
        <v>2.5090254552211071E-2</v>
      </c>
      <c r="C48" s="232"/>
      <c r="D48" s="529"/>
      <c r="E48" s="524">
        <f>+'PROCESOS Baja'!M509</f>
        <v>6.2725636380527678E-3</v>
      </c>
      <c r="F48" s="321"/>
      <c r="G48" s="320"/>
      <c r="H48" s="328"/>
      <c r="I48" s="320"/>
      <c r="J48" s="320"/>
      <c r="K48" s="328"/>
      <c r="L48" s="320"/>
      <c r="M48" s="321"/>
      <c r="N48" s="320"/>
      <c r="O48" s="320"/>
      <c r="P48" s="320"/>
      <c r="Q48" s="320"/>
      <c r="R48" s="320"/>
      <c r="S48" s="323"/>
    </row>
    <row r="49" spans="1:19" ht="19.899999999999999" customHeight="1" x14ac:dyDescent="0.45">
      <c r="A49" s="653" t="str">
        <f>+'PROCESOS Alta'!A485</f>
        <v>Coger máquina L2 y llevarla a Calidad</v>
      </c>
      <c r="B49" s="655">
        <f>+'PROCESOS Alta'!L490</f>
        <v>4.1849684132292831E-3</v>
      </c>
      <c r="C49" s="232"/>
      <c r="D49" s="529"/>
      <c r="E49" s="530">
        <f>+'PROCESOS Baja'!M490</f>
        <v>2.0924842066146416E-3</v>
      </c>
      <c r="F49" s="321"/>
      <c r="G49" s="320"/>
      <c r="H49" s="328"/>
      <c r="I49" s="320"/>
      <c r="J49" s="320"/>
      <c r="K49" s="328"/>
      <c r="L49" s="320"/>
      <c r="M49" s="321"/>
      <c r="N49" s="320"/>
      <c r="O49" s="320"/>
      <c r="P49" s="320"/>
      <c r="Q49" s="320"/>
      <c r="R49" s="320"/>
      <c r="S49" s="323"/>
    </row>
    <row r="50" spans="1:19" ht="19.899999999999999" customHeight="1" x14ac:dyDescent="0.45">
      <c r="A50" s="585" t="str">
        <f>+'PROCESOS Alta'!A232</f>
        <v>Coger componentes desubicados en playa de salida y ordenarlos para suministro ordenado a línea L1/L2</v>
      </c>
      <c r="B50" s="587">
        <f>+'PROCESOS Alta'!L236</f>
        <v>0.27485710394524959</v>
      </c>
      <c r="C50" s="232"/>
      <c r="D50" s="529"/>
      <c r="E50" s="524"/>
      <c r="F50" s="321"/>
      <c r="G50" s="320"/>
      <c r="H50" s="328"/>
      <c r="I50" s="320"/>
      <c r="J50" s="320"/>
      <c r="K50" s="328"/>
      <c r="L50" s="320"/>
      <c r="M50" s="321"/>
      <c r="N50" s="320"/>
      <c r="O50" s="320"/>
      <c r="P50" s="320"/>
      <c r="Q50" s="320"/>
      <c r="R50" s="320"/>
      <c r="S50" s="323"/>
    </row>
    <row r="51" spans="1:19" ht="19.899999999999999" customHeight="1" x14ac:dyDescent="0.45">
      <c r="A51" s="598" t="str">
        <f>+'PROCESOS Alta'!A375</f>
        <v>Coger material del almacén automático/exterior y dejarlo en dobladoras</v>
      </c>
      <c r="B51" s="599">
        <f>+'PROCESOS Alta'!L396</f>
        <v>1.172584244592028</v>
      </c>
      <c r="C51" s="232">
        <v>2</v>
      </c>
      <c r="D51" s="529">
        <f>+(B51+B52)/C51</f>
        <v>0.7222630521090152</v>
      </c>
      <c r="E51" s="524"/>
      <c r="F51" s="321"/>
      <c r="G51" s="320"/>
      <c r="H51" s="328"/>
      <c r="I51" s="320"/>
      <c r="J51" s="320"/>
      <c r="K51" s="328"/>
      <c r="L51" s="320"/>
      <c r="M51" s="321"/>
      <c r="N51" s="446">
        <f>+'PROCESOS Baja'!O396</f>
        <v>0.45044394761766926</v>
      </c>
      <c r="O51" s="447">
        <v>1</v>
      </c>
      <c r="P51" s="366">
        <f>+(N51+N52)/O51</f>
        <v>0.5549094180837556</v>
      </c>
      <c r="Q51" s="320"/>
      <c r="R51" s="320"/>
      <c r="S51" s="323"/>
    </row>
    <row r="52" spans="1:19" ht="19.899999999999999" customHeight="1" x14ac:dyDescent="0.45">
      <c r="A52" s="598" t="str">
        <f>+'PROCESOS Alta'!A538</f>
        <v>Mover contenedores chapa 2D entre diferentes máquinas de Chapa (dobladora, 3D, prensa…)</v>
      </c>
      <c r="B52" s="600">
        <f>+'PROCESOS Alta'!L544</f>
        <v>0.27194185962600248</v>
      </c>
      <c r="C52" s="232"/>
      <c r="D52" s="529"/>
      <c r="E52" s="524"/>
      <c r="F52" s="321"/>
      <c r="G52" s="320"/>
      <c r="H52" s="448"/>
      <c r="I52" s="320"/>
      <c r="J52" s="320"/>
      <c r="K52" s="328"/>
      <c r="L52" s="320"/>
      <c r="M52" s="321"/>
      <c r="N52" s="328">
        <f>+'PROCESOS Baja'!O544</f>
        <v>0.1044654704660863</v>
      </c>
      <c r="O52" s="320"/>
      <c r="P52" s="320"/>
      <c r="Q52" s="320"/>
      <c r="R52" s="320"/>
      <c r="S52" s="323"/>
    </row>
    <row r="53" spans="1:19" ht="19.899999999999999" customHeight="1" x14ac:dyDescent="0.45">
      <c r="A53" s="573" t="str">
        <f>+'PROCESOS Alta'!A440</f>
        <v>Picking secuenciado dentro de Sidreria L1</v>
      </c>
      <c r="B53" s="574">
        <f>+'PROCESOS Alta'!L446</f>
        <v>2.4939673913043476</v>
      </c>
      <c r="C53" s="531">
        <v>4</v>
      </c>
      <c r="D53" s="532">
        <f>(+B53+B54)/C53</f>
        <v>0.83246648550724633</v>
      </c>
      <c r="E53" s="524"/>
      <c r="F53" s="321"/>
      <c r="G53" s="320"/>
      <c r="H53" s="328"/>
      <c r="I53" s="320"/>
      <c r="J53" s="320"/>
      <c r="K53" s="328"/>
      <c r="L53" s="320"/>
      <c r="M53" s="320"/>
      <c r="N53" s="320"/>
      <c r="O53" s="320"/>
      <c r="P53" s="320"/>
      <c r="Q53" s="320"/>
      <c r="R53" s="320"/>
      <c r="S53" s="323"/>
    </row>
    <row r="54" spans="1:19" ht="19.899999999999999" customHeight="1" x14ac:dyDescent="0.45">
      <c r="A54" s="573" t="str">
        <f>+'PROCESOS Alta'!A448</f>
        <v>Picking secuenciado dentro de Sidreria L2</v>
      </c>
      <c r="B54" s="574">
        <f>+'PROCESOS Alta'!L454</f>
        <v>0.8358985507246377</v>
      </c>
      <c r="C54" s="531"/>
      <c r="D54" s="532"/>
      <c r="E54" s="524"/>
      <c r="F54" s="321"/>
      <c r="G54" s="320"/>
      <c r="H54" s="328"/>
      <c r="I54" s="320"/>
      <c r="J54" s="320"/>
      <c r="K54" s="328"/>
      <c r="L54" s="320"/>
      <c r="M54" s="320"/>
      <c r="N54" s="320"/>
      <c r="O54" s="320"/>
      <c r="P54" s="320"/>
      <c r="Q54" s="320"/>
      <c r="R54" s="320"/>
      <c r="S54" s="323"/>
    </row>
    <row r="55" spans="1:19" ht="19.899999999999999" customHeight="1" x14ac:dyDescent="0.45">
      <c r="A55" s="646" t="str">
        <f>+'PROCESOS Alta'!A456</f>
        <v>Recogida material de SAT (premontajes/Sidreria)</v>
      </c>
      <c r="B55" s="647">
        <f>+'PROCESOS Alta'!L463</f>
        <v>0.45458698605860115</v>
      </c>
      <c r="C55" s="232"/>
      <c r="D55" s="529"/>
      <c r="E55" s="524">
        <f>+'PROCESOS Baja'!M463</f>
        <v>0.22729349302930058</v>
      </c>
      <c r="F55" s="321"/>
      <c r="G55" s="320"/>
      <c r="H55" s="328"/>
      <c r="I55" s="320"/>
      <c r="J55" s="320"/>
      <c r="K55" s="328"/>
      <c r="L55" s="320"/>
      <c r="M55" s="320"/>
      <c r="N55" s="320"/>
      <c r="O55" s="320"/>
      <c r="P55" s="320"/>
      <c r="Q55" s="320"/>
      <c r="R55" s="320"/>
      <c r="S55" s="323"/>
    </row>
    <row r="56" spans="1:19" ht="19.899999999999999" customHeight="1" x14ac:dyDescent="0.45">
      <c r="A56" s="601" t="str">
        <f>+'PROCESOS Alta'!A546</f>
        <v>Sacar cercos (cajas vacías) de chapa desde Dobladora a zona exterior (Residuos)</v>
      </c>
      <c r="B56" s="602">
        <f>+'PROCESOS Alta'!L550</f>
        <v>0.44835241942649112</v>
      </c>
      <c r="C56" s="533"/>
      <c r="D56" s="534"/>
      <c r="E56" s="525"/>
      <c r="F56" s="330"/>
      <c r="G56" s="284"/>
      <c r="H56" s="284"/>
      <c r="I56" s="284"/>
      <c r="J56" s="284"/>
      <c r="K56" s="284"/>
      <c r="L56" s="284"/>
      <c r="M56" s="284"/>
      <c r="N56" s="331">
        <f>+'PROCESOS Baja'!O550</f>
        <v>0.17223294160895697</v>
      </c>
      <c r="O56" s="284"/>
      <c r="P56" s="284"/>
      <c r="Q56" s="284"/>
      <c r="R56" s="284"/>
      <c r="S56" s="324"/>
    </row>
    <row r="57" spans="1:19" ht="19.899999999999999" customHeight="1" x14ac:dyDescent="0.45">
      <c r="A57" s="651" t="str">
        <f>+'PROCESOS Alta'!A552</f>
        <v>Cargar máquinas en el camión</v>
      </c>
      <c r="B57" s="652">
        <f>+'PROCESOS Alta'!L559</f>
        <v>3.8094946116685242E-2</v>
      </c>
      <c r="C57" s="669">
        <v>2</v>
      </c>
      <c r="D57" s="534"/>
      <c r="E57" s="525">
        <f>+'PROCESOS Baja'!M559</f>
        <v>9.5237365291713106E-3</v>
      </c>
      <c r="F57" s="330"/>
      <c r="G57" s="284"/>
      <c r="H57" s="284"/>
      <c r="I57" s="284"/>
      <c r="J57" s="284"/>
      <c r="K57" s="284"/>
      <c r="L57" s="284"/>
      <c r="M57" s="284"/>
      <c r="N57" s="331"/>
      <c r="O57" s="284"/>
      <c r="P57" s="284"/>
      <c r="Q57" s="284"/>
      <c r="R57" s="284"/>
      <c r="S57" s="324"/>
    </row>
    <row r="58" spans="1:19" ht="19.899999999999999" customHeight="1" x14ac:dyDescent="0.45">
      <c r="A58" s="651" t="str">
        <f>+'PROCESOS Alta'!A561</f>
        <v>Recepción material de chapa 2D tamaño grande (no entra en almacén automático) y carga de vacíos chapa</v>
      </c>
      <c r="B58" s="652">
        <f>+'PROCESOS Alta'!L577</f>
        <v>0.24670139142572445</v>
      </c>
      <c r="C58" s="533"/>
      <c r="D58" s="534"/>
      <c r="E58" s="525">
        <f>+'PROCESOS Baja'!M577</f>
        <v>0.10253006199790697</v>
      </c>
      <c r="F58" s="330"/>
      <c r="G58" s="284"/>
      <c r="H58" s="284"/>
      <c r="I58" s="284"/>
      <c r="J58" s="284"/>
      <c r="K58" s="284"/>
      <c r="L58" s="284"/>
      <c r="M58" s="284"/>
      <c r="N58" s="331"/>
      <c r="O58" s="284"/>
      <c r="P58" s="284"/>
      <c r="Q58" s="284"/>
      <c r="R58" s="284"/>
      <c r="S58" s="324"/>
    </row>
    <row r="59" spans="1:19" ht="19.899999999999999" customHeight="1" x14ac:dyDescent="0.45">
      <c r="A59" s="651" t="str">
        <f>+'PROCESOS Alta'!A579</f>
        <v>Devolución componentes rechazados por Calidad</v>
      </c>
      <c r="B59" s="652">
        <f>+'PROCESOS Alta'!L586</f>
        <v>6.0369147157190634E-2</v>
      </c>
      <c r="C59" s="533"/>
      <c r="D59" s="534"/>
      <c r="E59" s="525">
        <f>+'PROCESOS Baja'!M586</f>
        <v>2.1218180973615757E-2</v>
      </c>
      <c r="F59" s="330"/>
      <c r="G59" s="284"/>
      <c r="H59" s="284"/>
      <c r="I59" s="284"/>
      <c r="J59" s="284"/>
      <c r="K59" s="284"/>
      <c r="L59" s="284"/>
      <c r="M59" s="284"/>
      <c r="N59" s="331"/>
      <c r="O59" s="284"/>
      <c r="P59" s="284"/>
      <c r="Q59" s="284"/>
      <c r="R59" s="284"/>
      <c r="S59" s="324"/>
    </row>
    <row r="60" spans="1:19" ht="19.899999999999999" customHeight="1" x14ac:dyDescent="0.45">
      <c r="A60" s="651" t="str">
        <f>+'PROCESOS Alta'!A588</f>
        <v>Tirar chatarra a Residuos</v>
      </c>
      <c r="B60" s="652">
        <f>+'PROCESOS Alta'!L595</f>
        <v>6.1698950204384991E-2</v>
      </c>
      <c r="C60" s="533"/>
      <c r="D60" s="534"/>
      <c r="E60" s="525">
        <f>+'PROCESOS Baja'!M595</f>
        <v>3.0849475102192495E-2</v>
      </c>
      <c r="F60" s="330"/>
      <c r="G60" s="284"/>
      <c r="H60" s="284"/>
      <c r="I60" s="284"/>
      <c r="J60" s="284"/>
      <c r="K60" s="284"/>
      <c r="L60" s="284"/>
      <c r="M60" s="284"/>
      <c r="N60" s="331"/>
      <c r="O60" s="284"/>
      <c r="P60" s="284"/>
      <c r="Q60" s="284"/>
      <c r="R60" s="284"/>
      <c r="S60" s="324"/>
    </row>
    <row r="61" spans="1:19" ht="19.899999999999999" customHeight="1" x14ac:dyDescent="0.45">
      <c r="A61" s="651" t="str">
        <f>+'PROCESOS Alta'!A597</f>
        <v>Coger material del montacargas y dejarlo en Ubicación almacén material 3D interno</v>
      </c>
      <c r="B61" s="652">
        <f>+'PROCESOS Alta'!L602</f>
        <v>3.5885126347082871E-3</v>
      </c>
      <c r="C61" s="533"/>
      <c r="D61" s="534"/>
      <c r="E61" s="525">
        <f>+'PROCESOS Baja'!M602</f>
        <v>1.7942563173541435E-3</v>
      </c>
      <c r="F61" s="330"/>
      <c r="G61" s="284"/>
      <c r="H61" s="284"/>
      <c r="I61" s="284"/>
      <c r="J61" s="284"/>
      <c r="K61" s="284"/>
      <c r="L61" s="284"/>
      <c r="M61" s="284"/>
      <c r="N61" s="331"/>
      <c r="O61" s="284"/>
      <c r="P61" s="284"/>
      <c r="Q61" s="284"/>
      <c r="R61" s="284"/>
      <c r="S61" s="324"/>
    </row>
    <row r="62" spans="1:19" ht="19.899999999999999" customHeight="1" x14ac:dyDescent="0.45">
      <c r="A62" s="644" t="str">
        <f>+'PROCESOS Alta'!A604</f>
        <v>Llevar chapa 3D pasando por diferentes máquinas de chapa (prensa, dobladora, 3D…) en almacén central. Chapa &gt; Playa Almacén</v>
      </c>
      <c r="B62" s="645">
        <f>+'PROCESOS Alta'!L610</f>
        <v>0.29258086250270832</v>
      </c>
      <c r="C62" s="533"/>
      <c r="D62" s="534"/>
      <c r="E62" s="525">
        <f>+'PROCESOS Baja'!M610</f>
        <v>0.11239386791262573</v>
      </c>
      <c r="F62" s="330"/>
      <c r="G62" s="284"/>
      <c r="H62" s="284"/>
      <c r="I62" s="284"/>
      <c r="J62" s="284"/>
      <c r="K62" s="284"/>
      <c r="L62" s="284"/>
      <c r="M62" s="284"/>
      <c r="N62" s="331"/>
      <c r="O62" s="284"/>
      <c r="P62" s="284"/>
      <c r="Q62" s="284"/>
      <c r="R62" s="284"/>
      <c r="S62" s="324"/>
    </row>
    <row r="63" spans="1:19" ht="19.899999999999999" customHeight="1" x14ac:dyDescent="0.45">
      <c r="A63" s="671" t="s">
        <v>1015</v>
      </c>
      <c r="B63" s="672">
        <v>1</v>
      </c>
      <c r="C63" s="669">
        <v>1</v>
      </c>
      <c r="D63" s="534"/>
      <c r="E63" s="525"/>
      <c r="F63" s="330"/>
      <c r="G63" s="284"/>
      <c r="H63" s="284"/>
      <c r="I63" s="284"/>
      <c r="J63" s="284"/>
      <c r="K63" s="284"/>
      <c r="L63" s="284"/>
      <c r="M63" s="284"/>
      <c r="N63" s="331"/>
      <c r="O63" s="284"/>
      <c r="P63" s="284"/>
      <c r="Q63" s="284"/>
      <c r="R63" s="284"/>
      <c r="S63" s="324"/>
    </row>
    <row r="64" spans="1:19" ht="19.899999999999999" customHeight="1" thickBot="1" x14ac:dyDescent="0.5">
      <c r="A64" s="656" t="str">
        <f>+'PROCESOS Alta'!A465</f>
        <v>Reciclaje del material desechable (cartón)</v>
      </c>
      <c r="B64" s="657">
        <f>+'PROCESOS Alta'!L476</f>
        <v>0.61622682088442959</v>
      </c>
      <c r="C64" s="535"/>
      <c r="D64" s="536"/>
      <c r="E64" s="537">
        <f>+'PROCESOS Baja'!M476</f>
        <v>0.3081134104422148</v>
      </c>
      <c r="F64" s="389"/>
      <c r="G64" s="325"/>
      <c r="H64" s="325"/>
      <c r="I64" s="325"/>
      <c r="J64" s="325"/>
      <c r="K64" s="325"/>
      <c r="L64" s="325"/>
      <c r="M64" s="325"/>
      <c r="N64" s="325"/>
      <c r="O64" s="325"/>
      <c r="P64" s="325"/>
      <c r="Q64" s="325"/>
      <c r="R64" s="325"/>
      <c r="S64" s="326"/>
    </row>
    <row r="65" spans="1:20" ht="9" customHeight="1" thickBot="1" x14ac:dyDescent="0.5">
      <c r="B65" s="347"/>
      <c r="C65" s="348"/>
      <c r="D65" s="349"/>
      <c r="E65" s="283"/>
      <c r="F65" s="350"/>
      <c r="G65" s="282"/>
      <c r="H65" s="282"/>
      <c r="I65" s="282"/>
      <c r="J65" s="282"/>
      <c r="K65" s="282"/>
      <c r="L65" s="282"/>
      <c r="M65" s="282"/>
      <c r="N65" s="282"/>
      <c r="O65" s="282"/>
      <c r="P65" s="282"/>
      <c r="Q65" s="282"/>
      <c r="R65" s="282"/>
      <c r="S65" s="282"/>
    </row>
    <row r="66" spans="1:20" ht="27.6" customHeight="1" thickBot="1" x14ac:dyDescent="0.4">
      <c r="A66" s="270" t="s">
        <v>360</v>
      </c>
      <c r="B66" s="266"/>
      <c r="C66" s="267">
        <f>SUM(C6:C64)</f>
        <v>27</v>
      </c>
      <c r="D66" s="268"/>
      <c r="E66" s="273">
        <f>SUM(E7:E64)</f>
        <v>2.7310133212888803</v>
      </c>
      <c r="F66" s="267">
        <f>SUM(F6:F65)</f>
        <v>4</v>
      </c>
      <c r="G66" s="274">
        <f>+E66/F66</f>
        <v>0.68275333032222008</v>
      </c>
      <c r="H66" s="273">
        <f>SUM(H6:H55)</f>
        <v>0.13386765022110739</v>
      </c>
      <c r="I66" s="267">
        <f>SUM(I6:I65)</f>
        <v>2</v>
      </c>
      <c r="J66" s="274">
        <f>+H66/I66</f>
        <v>6.6933825110553694E-2</v>
      </c>
      <c r="K66" s="275">
        <f>SUM(K6:K55)</f>
        <v>1.9432813144004573</v>
      </c>
      <c r="L66" s="267">
        <f>SUM(L6:L65)</f>
        <v>3</v>
      </c>
      <c r="M66" s="274">
        <f>+K66/L66</f>
        <v>0.64776043813348572</v>
      </c>
      <c r="N66" s="275">
        <f>+N51+N52</f>
        <v>0.5549094180837556</v>
      </c>
      <c r="O66" s="267">
        <f>SUM(O6:O64)</f>
        <v>1</v>
      </c>
      <c r="P66" s="274">
        <f>+N66/O66</f>
        <v>0.5549094180837556</v>
      </c>
      <c r="Q66" s="275">
        <f>+Q18+Q14</f>
        <v>1.7393896269792821</v>
      </c>
      <c r="R66" s="267">
        <f>SUM(R6:R65)</f>
        <v>2</v>
      </c>
      <c r="S66" s="276">
        <f>+Q66/R66</f>
        <v>0.86969481348964106</v>
      </c>
      <c r="T66" s="436">
        <f>+R66+L66+I66+F66+O66</f>
        <v>12</v>
      </c>
    </row>
    <row r="68" spans="1:20" ht="19.899999999999999" customHeight="1" x14ac:dyDescent="0.4">
      <c r="A68" s="650"/>
      <c r="Q68" s="119" t="s">
        <v>884</v>
      </c>
    </row>
    <row r="69" spans="1:20" ht="15" x14ac:dyDescent="0.4">
      <c r="A69" s="362" t="s">
        <v>551</v>
      </c>
      <c r="B69" s="282"/>
      <c r="C69" s="282"/>
      <c r="D69" s="282"/>
    </row>
    <row r="70" spans="1:20" ht="21" customHeight="1" x14ac:dyDescent="0.4">
      <c r="A70" s="362"/>
      <c r="B70" s="742" t="s">
        <v>796</v>
      </c>
      <c r="C70" s="742"/>
      <c r="D70" s="742"/>
      <c r="E70" s="743" t="s">
        <v>797</v>
      </c>
      <c r="F70" s="743" t="s">
        <v>798</v>
      </c>
      <c r="G70" s="743" t="s">
        <v>799</v>
      </c>
      <c r="H70" s="743" t="s">
        <v>438</v>
      </c>
      <c r="I70" s="743" t="s">
        <v>800</v>
      </c>
    </row>
    <row r="71" spans="1:20" ht="15" x14ac:dyDescent="0.4">
      <c r="A71" s="362"/>
      <c r="B71" s="426" t="s">
        <v>552</v>
      </c>
      <c r="C71" s="426" t="s">
        <v>553</v>
      </c>
      <c r="D71" s="426" t="s">
        <v>354</v>
      </c>
      <c r="E71" s="744"/>
      <c r="F71" s="744"/>
      <c r="G71" s="744"/>
      <c r="H71" s="744"/>
      <c r="I71" s="744"/>
    </row>
    <row r="72" spans="1:20" ht="18" customHeight="1" x14ac:dyDescent="0.5">
      <c r="A72" s="371" t="s">
        <v>416</v>
      </c>
    </row>
    <row r="73" spans="1:20" ht="15" x14ac:dyDescent="0.4">
      <c r="A73" s="553" t="str">
        <f t="shared" ref="A73:B78" si="0">+A7</f>
        <v>Recepción convencional</v>
      </c>
      <c r="B73" s="331">
        <f t="shared" si="0"/>
        <v>1.3441045774580147</v>
      </c>
      <c r="C73" s="330"/>
      <c r="D73" s="330"/>
      <c r="E73" s="723">
        <f>+F6</f>
        <v>1</v>
      </c>
      <c r="F73" s="726">
        <f>+I6</f>
        <v>1</v>
      </c>
      <c r="G73" s="754"/>
      <c r="H73" s="754"/>
      <c r="I73" s="754"/>
      <c r="K73" s="119" t="s">
        <v>1018</v>
      </c>
    </row>
    <row r="74" spans="1:20" ht="15" x14ac:dyDescent="0.4">
      <c r="A74" s="554" t="str">
        <f t="shared" si="0"/>
        <v>Recepción material de Chapa 3D/2D finalizado</v>
      </c>
      <c r="B74" s="367">
        <f t="shared" si="0"/>
        <v>0.18278349732085425</v>
      </c>
      <c r="C74" s="369"/>
      <c r="D74" s="369"/>
      <c r="E74" s="724"/>
      <c r="F74" s="724"/>
      <c r="G74" s="755"/>
      <c r="H74" s="755"/>
      <c r="I74" s="755"/>
      <c r="K74" s="119" t="s">
        <v>1024</v>
      </c>
    </row>
    <row r="75" spans="1:20" ht="15" x14ac:dyDescent="0.4">
      <c r="A75" s="554" t="str">
        <f t="shared" si="0"/>
        <v>Cargar camión con material para KATEA</v>
      </c>
      <c r="B75" s="367">
        <f t="shared" si="0"/>
        <v>4.0260765050167215E-2</v>
      </c>
      <c r="C75" s="369"/>
      <c r="D75" s="369"/>
      <c r="E75" s="724"/>
      <c r="F75" s="724"/>
      <c r="G75" s="755"/>
      <c r="H75" s="755"/>
      <c r="I75" s="755"/>
    </row>
    <row r="76" spans="1:20" ht="15" x14ac:dyDescent="0.4">
      <c r="A76" s="554" t="str">
        <f t="shared" si="0"/>
        <v xml:space="preserve">Cargar SAT </v>
      </c>
      <c r="B76" s="367">
        <f t="shared" si="0"/>
        <v>4.722756410256411E-2</v>
      </c>
      <c r="C76" s="369"/>
      <c r="D76" s="369"/>
      <c r="E76" s="724"/>
      <c r="F76" s="724"/>
      <c r="G76" s="755"/>
      <c r="H76" s="755"/>
      <c r="I76" s="755"/>
    </row>
    <row r="77" spans="1:20" ht="15" x14ac:dyDescent="0.4">
      <c r="A77" s="554" t="str">
        <f t="shared" si="0"/>
        <v>Cargar material para Subcontratistas y devoluciones a proveedor</v>
      </c>
      <c r="B77" s="367">
        <f t="shared" si="0"/>
        <v>0.1824714673913044</v>
      </c>
      <c r="C77" s="369"/>
      <c r="D77" s="369"/>
      <c r="E77" s="724"/>
      <c r="F77" s="724"/>
      <c r="G77" s="755"/>
      <c r="H77" s="755"/>
      <c r="I77" s="755"/>
    </row>
    <row r="78" spans="1:20" ht="15" x14ac:dyDescent="0.4">
      <c r="A78" s="555" t="str">
        <f t="shared" si="0"/>
        <v>Descargar China (temporal, material del día siguiente)</v>
      </c>
      <c r="B78" s="368">
        <f t="shared" si="0"/>
        <v>0.21498242710268795</v>
      </c>
      <c r="C78" s="333"/>
      <c r="D78" s="333"/>
      <c r="E78" s="725"/>
      <c r="F78" s="725"/>
      <c r="G78" s="756"/>
      <c r="H78" s="756"/>
      <c r="I78" s="756"/>
    </row>
    <row r="79" spans="1:20" ht="15" x14ac:dyDescent="0.4">
      <c r="B79" s="415">
        <f>SUM(B73:B78)</f>
        <v>2.0118302984255925</v>
      </c>
      <c r="C79" s="398">
        <v>2</v>
      </c>
      <c r="D79" s="401">
        <f>+B79/C79</f>
        <v>1.0059151492127962</v>
      </c>
      <c r="E79" s="427">
        <f>+E73</f>
        <v>1</v>
      </c>
      <c r="F79" s="427">
        <f>+F73</f>
        <v>1</v>
      </c>
      <c r="G79" s="422"/>
      <c r="H79" s="422"/>
      <c r="I79" s="422"/>
    </row>
    <row r="80" spans="1:20" ht="15" x14ac:dyDescent="0.4">
      <c r="A80" s="282"/>
      <c r="B80" s="363"/>
      <c r="C80" s="364"/>
      <c r="D80" s="383"/>
    </row>
    <row r="81" spans="1:11" ht="18" customHeight="1" x14ac:dyDescent="0.5">
      <c r="A81" s="371" t="s">
        <v>554</v>
      </c>
      <c r="C81" s="350"/>
      <c r="D81" s="350"/>
    </row>
    <row r="82" spans="1:11" ht="15" x14ac:dyDescent="0.4">
      <c r="A82" s="569" t="s">
        <v>554</v>
      </c>
      <c r="B82" s="328">
        <f>+B13</f>
        <v>1.8672478559519385</v>
      </c>
      <c r="C82" s="321"/>
      <c r="D82" s="321"/>
      <c r="E82" s="422"/>
      <c r="F82" s="429">
        <f>+I13</f>
        <v>1</v>
      </c>
      <c r="G82" s="422"/>
      <c r="H82" s="422"/>
      <c r="I82" s="422"/>
      <c r="K82" s="119" t="s">
        <v>1019</v>
      </c>
    </row>
    <row r="83" spans="1:11" ht="15" x14ac:dyDescent="0.4">
      <c r="A83" s="282"/>
      <c r="B83" s="372">
        <f>+B82</f>
        <v>1.8672478559519385</v>
      </c>
      <c r="C83" s="370">
        <v>2</v>
      </c>
      <c r="D83" s="373">
        <f>+B83/C83</f>
        <v>0.93362392797596927</v>
      </c>
      <c r="E83" s="422"/>
      <c r="F83" s="427">
        <f>+F82</f>
        <v>1</v>
      </c>
      <c r="G83" s="422"/>
      <c r="H83" s="422"/>
      <c r="I83" s="422"/>
    </row>
    <row r="84" spans="1:11" ht="15" x14ac:dyDescent="0.4">
      <c r="A84" s="282"/>
      <c r="B84" s="363"/>
      <c r="C84" s="364"/>
      <c r="D84" s="383"/>
    </row>
    <row r="85" spans="1:11" ht="18" customHeight="1" x14ac:dyDescent="0.5">
      <c r="A85" s="371" t="s">
        <v>555</v>
      </c>
      <c r="C85" s="361"/>
      <c r="D85" s="361"/>
    </row>
    <row r="86" spans="1:11" ht="15" x14ac:dyDescent="0.4">
      <c r="A86" s="570" t="str">
        <f t="shared" ref="A86:B88" si="1">+A15</f>
        <v>Ubicar cajas de Proveedor desde Recepciones (Proveedor + Chapa 3D+China almacén central)</v>
      </c>
      <c r="B86" s="331">
        <f t="shared" si="1"/>
        <v>1.5353589499430105</v>
      </c>
      <c r="C86" s="330"/>
      <c r="D86" s="330"/>
      <c r="E86" s="727"/>
      <c r="F86" s="727"/>
      <c r="G86" s="727"/>
      <c r="H86" s="727"/>
      <c r="I86" s="720">
        <f>+R14+R18</f>
        <v>2</v>
      </c>
      <c r="K86" s="119" t="s">
        <v>1020</v>
      </c>
    </row>
    <row r="87" spans="1:11" ht="15" x14ac:dyDescent="0.4">
      <c r="A87" s="571" t="str">
        <f t="shared" si="1"/>
        <v>Ubicar en almacén central chapa 3D pasando por diferentes máquinas de chapa. Playa &gt; Almacén</v>
      </c>
      <c r="B87" s="367">
        <f t="shared" si="1"/>
        <v>0.19696806942697812</v>
      </c>
      <c r="C87" s="369"/>
      <c r="D87" s="369"/>
      <c r="E87" s="734"/>
      <c r="F87" s="734"/>
      <c r="G87" s="734"/>
      <c r="H87" s="734"/>
      <c r="I87" s="734"/>
    </row>
    <row r="88" spans="1:11" ht="15" x14ac:dyDescent="0.4">
      <c r="A88" s="571" t="str">
        <f t="shared" si="1"/>
        <v>Ubicar Armazones en Almacén Central desde ubicación alm. material chapa 3D interno</v>
      </c>
      <c r="B88" s="367">
        <f t="shared" si="1"/>
        <v>5.4091694537346715E-3</v>
      </c>
      <c r="C88" s="369"/>
      <c r="D88" s="369"/>
      <c r="E88" s="734"/>
      <c r="F88" s="734"/>
      <c r="G88" s="734"/>
      <c r="H88" s="734"/>
      <c r="I88" s="734"/>
    </row>
    <row r="89" spans="1:11" ht="15" x14ac:dyDescent="0.4">
      <c r="A89" s="571" t="str">
        <f t="shared" ref="A89:B92" si="2">+A19</f>
        <v>Desubicación desde almacén (caótico) a Picking (zona fija) 8 - 120 Kg. Almacen caótico &gt; Almacén Picking</v>
      </c>
      <c r="B89" s="367">
        <f t="shared" si="2"/>
        <v>0.118542085861204</v>
      </c>
      <c r="C89" s="369"/>
      <c r="D89" s="369"/>
      <c r="E89" s="734"/>
      <c r="F89" s="734"/>
      <c r="G89" s="734"/>
      <c r="H89" s="734"/>
      <c r="I89" s="734"/>
    </row>
    <row r="90" spans="1:11" ht="15" x14ac:dyDescent="0.4">
      <c r="A90" s="571" t="str">
        <f t="shared" si="2"/>
        <v>Desubicación cajas componentes kanban a premontajes/"Sidreria" (8 - 120 kg.) Almacén &gt; Playa</v>
      </c>
      <c r="B90" s="367">
        <f t="shared" si="2"/>
        <v>0.96613174941451363</v>
      </c>
      <c r="C90" s="369"/>
      <c r="D90" s="369"/>
      <c r="E90" s="734"/>
      <c r="F90" s="734"/>
      <c r="G90" s="734"/>
      <c r="H90" s="734"/>
      <c r="I90" s="734"/>
    </row>
    <row r="91" spans="1:11" ht="15" x14ac:dyDescent="0.4">
      <c r="A91" s="571" t="str">
        <f t="shared" si="2"/>
        <v>Desubicar Chapa del almacén central hacia premontajes  Almacén &gt; Playa</v>
      </c>
      <c r="B91" s="367">
        <f t="shared" si="2"/>
        <v>0.41997587755247345</v>
      </c>
      <c r="C91" s="369"/>
      <c r="D91" s="369"/>
      <c r="E91" s="734"/>
      <c r="F91" s="734"/>
      <c r="G91" s="734"/>
      <c r="H91" s="734"/>
      <c r="I91" s="734"/>
    </row>
    <row r="92" spans="1:11" ht="15" x14ac:dyDescent="0.4">
      <c r="A92" s="572" t="str">
        <f t="shared" si="2"/>
        <v>Desubicar China del Almacén central hacía premontajes. Almacén &gt; Playa</v>
      </c>
      <c r="B92" s="367">
        <f t="shared" si="2"/>
        <v>0.25424997568287971</v>
      </c>
      <c r="C92" s="369"/>
      <c r="D92" s="369"/>
      <c r="E92" s="734"/>
      <c r="F92" s="734"/>
      <c r="G92" s="734"/>
      <c r="H92" s="734"/>
      <c r="I92" s="734"/>
    </row>
    <row r="93" spans="1:11" ht="15" x14ac:dyDescent="0.4">
      <c r="A93" s="282"/>
      <c r="B93" s="372">
        <f>SUM(B86:B92)</f>
        <v>3.4966358773347941</v>
      </c>
      <c r="C93" s="370">
        <v>4</v>
      </c>
      <c r="D93" s="373">
        <f>+B93/C93</f>
        <v>0.87415896933369852</v>
      </c>
      <c r="E93" s="320"/>
      <c r="F93" s="320"/>
      <c r="G93" s="320"/>
      <c r="H93" s="320"/>
      <c r="I93" s="428">
        <f>+I86</f>
        <v>2</v>
      </c>
    </row>
    <row r="94" spans="1:11" ht="15" x14ac:dyDescent="0.4">
      <c r="A94" s="282"/>
      <c r="B94" s="363"/>
      <c r="C94" s="364"/>
      <c r="D94" s="383"/>
      <c r="E94" s="282"/>
    </row>
    <row r="95" spans="1:11" ht="16.899999999999999" x14ac:dyDescent="0.5">
      <c r="A95" s="576" t="s">
        <v>1009</v>
      </c>
      <c r="B95" s="363"/>
      <c r="C95" s="364"/>
      <c r="D95" s="383"/>
      <c r="E95" s="282"/>
    </row>
    <row r="96" spans="1:11" ht="15" x14ac:dyDescent="0.4">
      <c r="A96" s="595" t="str">
        <f t="shared" ref="A96:B97" si="3">+A26</f>
        <v>Cajas desde Playa hasta premontajes/eroski L1/L2</v>
      </c>
      <c r="B96" s="589">
        <f t="shared" si="3"/>
        <v>0.80291209698149557</v>
      </c>
      <c r="C96" s="590"/>
      <c r="D96" s="399"/>
      <c r="E96" s="727">
        <v>1</v>
      </c>
      <c r="F96" s="729"/>
      <c r="G96" s="729"/>
      <c r="H96" s="729"/>
      <c r="I96" s="729"/>
      <c r="K96" s="119" t="s">
        <v>1021</v>
      </c>
    </row>
    <row r="97" spans="1:11" ht="15" x14ac:dyDescent="0.4">
      <c r="A97" s="596" t="str">
        <f t="shared" si="3"/>
        <v>CHAPA desde la playa de salida hasta los premontajes Todo</v>
      </c>
      <c r="B97" s="591">
        <f t="shared" si="3"/>
        <v>0.77727815517978949</v>
      </c>
      <c r="C97" s="593"/>
      <c r="D97" s="400"/>
      <c r="E97" s="734"/>
      <c r="F97" s="735"/>
      <c r="G97" s="735"/>
      <c r="H97" s="735"/>
      <c r="I97" s="735"/>
      <c r="K97" s="119" t="s">
        <v>1023</v>
      </c>
    </row>
    <row r="98" spans="1:11" ht="15" x14ac:dyDescent="0.4">
      <c r="A98" s="596" t="str">
        <f>+A43</f>
        <v>Llevar envolventes a mecanizado</v>
      </c>
      <c r="B98" s="588">
        <f>+B43</f>
        <v>0.14692856976960239</v>
      </c>
      <c r="C98" s="593"/>
      <c r="D98" s="400"/>
      <c r="E98" s="734"/>
      <c r="F98" s="735"/>
      <c r="G98" s="735"/>
      <c r="H98" s="735"/>
      <c r="I98" s="735"/>
    </row>
    <row r="99" spans="1:11" ht="15" x14ac:dyDescent="0.4">
      <c r="A99" s="597" t="str">
        <f>+A50</f>
        <v>Coger componentes desubicados en playa de salida y ordenarlos para suministro ordenado a línea L1/L2</v>
      </c>
      <c r="B99" s="592">
        <f>+B50</f>
        <v>0.27485710394524959</v>
      </c>
      <c r="C99" s="594"/>
      <c r="D99" s="401"/>
      <c r="E99" s="728"/>
      <c r="F99" s="730"/>
      <c r="G99" s="730"/>
      <c r="H99" s="730"/>
      <c r="I99" s="730"/>
    </row>
    <row r="100" spans="1:11" ht="15" x14ac:dyDescent="0.4">
      <c r="B100" s="372">
        <f>SUM(B96:B99)</f>
        <v>2.0019759258761369</v>
      </c>
      <c r="C100" s="398">
        <v>2</v>
      </c>
      <c r="D100" s="697">
        <f>+B100/C100</f>
        <v>1.0009879629380685</v>
      </c>
      <c r="E100" s="398">
        <f>SUM(E96)</f>
        <v>1</v>
      </c>
      <c r="F100" s="286"/>
      <c r="G100" s="286"/>
      <c r="H100" s="286"/>
      <c r="I100" s="286"/>
    </row>
    <row r="101" spans="1:11" ht="15" x14ac:dyDescent="0.4">
      <c r="B101" s="363"/>
      <c r="C101" s="364"/>
      <c r="D101" s="383"/>
      <c r="E101" s="364"/>
      <c r="F101" s="282"/>
      <c r="G101" s="282"/>
      <c r="H101" s="282"/>
      <c r="I101" s="282"/>
    </row>
    <row r="102" spans="1:11" ht="16.899999999999999" x14ac:dyDescent="0.5">
      <c r="A102" s="576" t="s">
        <v>1130</v>
      </c>
      <c r="B102" s="363"/>
      <c r="C102" s="364"/>
      <c r="D102" s="383"/>
      <c r="E102" s="282"/>
    </row>
    <row r="103" spans="1:11" ht="15" x14ac:dyDescent="0.4">
      <c r="A103" s="578" t="str">
        <f>+A53</f>
        <v>Picking secuenciado dentro de Sidreria L1</v>
      </c>
      <c r="B103" s="394">
        <f>+B53</f>
        <v>2.4939673913043476</v>
      </c>
      <c r="C103" s="394"/>
      <c r="D103" s="394"/>
      <c r="E103" s="394"/>
      <c r="F103" s="394"/>
      <c r="G103" s="394"/>
      <c r="H103" s="394"/>
      <c r="I103" s="394"/>
      <c r="J103" s="476"/>
    </row>
    <row r="104" spans="1:11" ht="15" x14ac:dyDescent="0.4">
      <c r="A104" s="640" t="str">
        <f>+A54</f>
        <v>Picking secuenciado dentro de Sidreria L2</v>
      </c>
      <c r="B104" s="395">
        <f>+B54</f>
        <v>0.8358985507246377</v>
      </c>
      <c r="C104" s="395"/>
      <c r="D104" s="395"/>
      <c r="E104" s="395"/>
      <c r="F104" s="395"/>
      <c r="G104" s="395"/>
      <c r="H104" s="395"/>
      <c r="I104" s="395"/>
      <c r="J104" s="476"/>
    </row>
    <row r="105" spans="1:11" ht="15" x14ac:dyDescent="0.4">
      <c r="A105" s="579" t="str">
        <f>+A44</f>
        <v>Secuenciado de envolventes</v>
      </c>
      <c r="B105" s="577">
        <f>+B44</f>
        <v>0.44266992289111851</v>
      </c>
      <c r="C105" s="577"/>
      <c r="D105" s="577"/>
      <c r="E105" s="577"/>
      <c r="F105" s="577"/>
      <c r="G105" s="577"/>
      <c r="H105" s="577"/>
      <c r="I105" s="577"/>
      <c r="J105" s="476"/>
    </row>
    <row r="106" spans="1:11" ht="15" x14ac:dyDescent="0.4">
      <c r="B106" s="415">
        <f>SUM(B103:B105)</f>
        <v>3.772535864920104</v>
      </c>
      <c r="C106" s="398">
        <v>4</v>
      </c>
      <c r="D106" s="401">
        <f>+B106/C106</f>
        <v>0.94313396623002599</v>
      </c>
      <c r="E106" s="286"/>
      <c r="F106" s="439"/>
      <c r="G106" s="439"/>
      <c r="H106" s="439"/>
      <c r="I106" s="439"/>
    </row>
    <row r="107" spans="1:11" ht="15" x14ac:dyDescent="0.4">
      <c r="B107" s="363"/>
      <c r="C107" s="364"/>
      <c r="D107" s="383"/>
      <c r="E107" s="282"/>
    </row>
    <row r="108" spans="1:11" ht="16.899999999999999" x14ac:dyDescent="0.5">
      <c r="A108" s="576" t="s">
        <v>1012</v>
      </c>
      <c r="B108" s="363"/>
      <c r="C108" s="364"/>
      <c r="D108" s="383"/>
      <c r="E108" s="282"/>
    </row>
    <row r="109" spans="1:11" ht="15" x14ac:dyDescent="0.4">
      <c r="A109" s="603" t="str">
        <f>+A39</f>
        <v>Suministro de Armazones desde almacén automático hasta Armazones</v>
      </c>
      <c r="B109" s="394">
        <f>+B39</f>
        <v>5.5299781493868459E-2</v>
      </c>
      <c r="C109" s="396"/>
      <c r="D109" s="399"/>
      <c r="E109" s="727"/>
      <c r="F109" s="754"/>
      <c r="G109" s="754"/>
      <c r="H109" s="723">
        <f>+O66</f>
        <v>1</v>
      </c>
      <c r="I109" s="754"/>
      <c r="K109" s="119" t="s">
        <v>1021</v>
      </c>
    </row>
    <row r="110" spans="1:11" ht="15" x14ac:dyDescent="0.4">
      <c r="A110" s="604" t="str">
        <f>+A51</f>
        <v>Coger material del almacén automático/exterior y dejarlo en dobladoras</v>
      </c>
      <c r="B110" s="395">
        <f>+B51</f>
        <v>1.172584244592028</v>
      </c>
      <c r="C110" s="397"/>
      <c r="D110" s="400"/>
      <c r="E110" s="734"/>
      <c r="F110" s="755"/>
      <c r="G110" s="755"/>
      <c r="H110" s="724"/>
      <c r="I110" s="755"/>
      <c r="K110" s="119" t="s">
        <v>1023</v>
      </c>
    </row>
    <row r="111" spans="1:11" ht="15" x14ac:dyDescent="0.4">
      <c r="A111" s="605" t="str">
        <f>+A52</f>
        <v>Mover contenedores chapa 2D entre diferentes máquinas de Chapa (dobladora, 3D, prensa…)</v>
      </c>
      <c r="B111" s="395">
        <f>+B52</f>
        <v>0.27194185962600248</v>
      </c>
      <c r="C111" s="397"/>
      <c r="D111" s="400"/>
      <c r="E111" s="734"/>
      <c r="F111" s="755"/>
      <c r="G111" s="755"/>
      <c r="H111" s="724"/>
      <c r="I111" s="755"/>
    </row>
    <row r="112" spans="1:11" ht="15" x14ac:dyDescent="0.4">
      <c r="A112" s="606" t="str">
        <f>+A56</f>
        <v>Sacar cercos (cajas vacías) de chapa desde Dobladora a zona exterior (Residuos)</v>
      </c>
      <c r="B112" s="577">
        <f>+B56</f>
        <v>0.44835241942649112</v>
      </c>
      <c r="C112" s="398"/>
      <c r="D112" s="401"/>
      <c r="E112" s="728"/>
      <c r="F112" s="756"/>
      <c r="G112" s="756"/>
      <c r="H112" s="725"/>
      <c r="I112" s="756"/>
      <c r="K112" s="332"/>
    </row>
    <row r="113" spans="1:11" ht="15" x14ac:dyDescent="0.4">
      <c r="B113" s="415">
        <f>SUM(B109:B112)</f>
        <v>1.9481783051383901</v>
      </c>
      <c r="C113" s="398">
        <v>2</v>
      </c>
      <c r="D113" s="401">
        <f>+B113/C113</f>
        <v>0.97408915256919504</v>
      </c>
      <c r="E113" s="333"/>
      <c r="F113" s="333"/>
      <c r="G113" s="333"/>
      <c r="H113" s="417">
        <f>+H109</f>
        <v>1</v>
      </c>
      <c r="I113" s="333"/>
    </row>
    <row r="114" spans="1:11" ht="15" x14ac:dyDescent="0.4">
      <c r="B114" s="363"/>
      <c r="C114" s="364"/>
      <c r="D114" s="383"/>
      <c r="E114" s="282"/>
    </row>
    <row r="115" spans="1:11" ht="15" x14ac:dyDescent="0.4">
      <c r="A115" s="282"/>
      <c r="B115" s="282"/>
      <c r="C115" s="350"/>
      <c r="D115" s="350"/>
      <c r="E115" s="282"/>
    </row>
    <row r="116" spans="1:11" ht="18" customHeight="1" x14ac:dyDescent="0.5">
      <c r="A116" s="371" t="s">
        <v>1013</v>
      </c>
      <c r="B116" s="282"/>
      <c r="C116" s="350"/>
      <c r="D116" s="350"/>
      <c r="E116" s="282"/>
    </row>
    <row r="117" spans="1:11" ht="15" x14ac:dyDescent="0.4">
      <c r="A117" s="642" t="str">
        <f t="shared" ref="A117:B119" si="4">+A34</f>
        <v>Suministro desde Dobladora hasta Premontaje L1</v>
      </c>
      <c r="B117" s="331">
        <f t="shared" si="4"/>
        <v>0.16613618996166618</v>
      </c>
      <c r="C117" s="330"/>
      <c r="D117" s="330"/>
      <c r="E117" s="731">
        <v>1</v>
      </c>
      <c r="F117" s="731"/>
      <c r="G117" s="731"/>
      <c r="H117" s="731"/>
      <c r="I117" s="731"/>
      <c r="K117" s="119" t="s">
        <v>1025</v>
      </c>
    </row>
    <row r="118" spans="1:11" ht="15" x14ac:dyDescent="0.4">
      <c r="A118" s="643" t="str">
        <f t="shared" si="4"/>
        <v>Suministro desde Dobladora hasta Premontaje L2</v>
      </c>
      <c r="B118" s="367">
        <f t="shared" si="4"/>
        <v>0.22042562241527563</v>
      </c>
      <c r="C118" s="369"/>
      <c r="D118" s="369"/>
      <c r="E118" s="732"/>
      <c r="F118" s="732"/>
      <c r="G118" s="732"/>
      <c r="H118" s="732"/>
      <c r="I118" s="732"/>
    </row>
    <row r="119" spans="1:11" ht="15" x14ac:dyDescent="0.4">
      <c r="A119" s="643" t="str">
        <f t="shared" si="4"/>
        <v>Suministro desde Dobladora hasta Premontaje L3</v>
      </c>
      <c r="B119" s="367">
        <f t="shared" si="4"/>
        <v>4.3367805265808468E-3</v>
      </c>
      <c r="C119" s="369"/>
      <c r="D119" s="369"/>
      <c r="E119" s="732"/>
      <c r="F119" s="732"/>
      <c r="G119" s="732"/>
      <c r="H119" s="732"/>
      <c r="I119" s="732"/>
    </row>
    <row r="120" spans="1:11" ht="15" x14ac:dyDescent="0.4">
      <c r="A120" s="643" t="str">
        <f>+A30</f>
        <v>Würth desde zona de salida hasta premontajes/Línea 1</v>
      </c>
      <c r="B120" s="367">
        <f>+B30</f>
        <v>4.6330983956193034E-2</v>
      </c>
      <c r="C120" s="369"/>
      <c r="D120" s="369"/>
      <c r="E120" s="732"/>
      <c r="F120" s="732"/>
      <c r="G120" s="732"/>
      <c r="H120" s="732"/>
      <c r="I120" s="732"/>
    </row>
    <row r="121" spans="1:11" ht="15" x14ac:dyDescent="0.4">
      <c r="A121" s="658" t="str">
        <f>+A31</f>
        <v>Würth desde zona de salida hasta premontajes/Línea L2/L3</v>
      </c>
      <c r="B121" s="367">
        <f>+B31</f>
        <v>3.7421444642818297E-2</v>
      </c>
      <c r="C121" s="369"/>
      <c r="D121" s="369"/>
      <c r="E121" s="732"/>
      <c r="F121" s="732"/>
      <c r="G121" s="732"/>
      <c r="H121" s="732"/>
      <c r="I121" s="732"/>
    </row>
    <row r="122" spans="1:11" ht="15" x14ac:dyDescent="0.4">
      <c r="A122" s="648" t="str">
        <f>+A62</f>
        <v>Llevar chapa 3D pasando por diferentes máquinas de chapa (prensa, dobladora, 3D…) en almacén central. Chapa &gt; Playa Almacén</v>
      </c>
      <c r="B122" s="367">
        <f>+B62</f>
        <v>0.29258086250270832</v>
      </c>
      <c r="C122" s="369"/>
      <c r="D122" s="369"/>
      <c r="E122" s="732"/>
      <c r="F122" s="732"/>
      <c r="G122" s="732"/>
      <c r="H122" s="732"/>
      <c r="I122" s="732"/>
    </row>
    <row r="123" spans="1:11" ht="15" x14ac:dyDescent="0.4">
      <c r="A123" s="643" t="str">
        <f>+A23</f>
        <v>Llevar China del Almacén automático hacia playa de salida. Almacén automático &gt; Playa</v>
      </c>
      <c r="B123" s="367">
        <f>+B23</f>
        <v>6.913588913143498E-2</v>
      </c>
      <c r="C123" s="369"/>
      <c r="D123" s="369"/>
      <c r="E123" s="732"/>
      <c r="F123" s="732"/>
      <c r="G123" s="732"/>
      <c r="H123" s="732"/>
      <c r="I123" s="732"/>
    </row>
    <row r="124" spans="1:11" ht="15" x14ac:dyDescent="0.4">
      <c r="A124" s="643" t="str">
        <f>+A55</f>
        <v>Recogida material de SAT (premontajes/Sidreria)</v>
      </c>
      <c r="B124" s="367">
        <f>+B55</f>
        <v>0.45458698605860115</v>
      </c>
      <c r="C124" s="369"/>
      <c r="D124" s="369"/>
      <c r="E124" s="732"/>
      <c r="F124" s="732"/>
      <c r="G124" s="732"/>
      <c r="H124" s="732"/>
      <c r="I124" s="732"/>
    </row>
    <row r="125" spans="1:11" ht="15" x14ac:dyDescent="0.4">
      <c r="A125" s="643" t="str">
        <f>+A28</f>
        <v>CHINA desde playa de salida hasta los premontajes L1/L2</v>
      </c>
      <c r="B125" s="367">
        <f>+B28</f>
        <v>0.26660050917520473</v>
      </c>
      <c r="C125" s="369"/>
      <c r="D125" s="369"/>
      <c r="E125" s="732"/>
      <c r="F125" s="732"/>
      <c r="G125" s="732"/>
      <c r="H125" s="732"/>
      <c r="I125" s="732"/>
    </row>
    <row r="126" spans="1:11" ht="15" x14ac:dyDescent="0.4">
      <c r="A126" s="643" t="str">
        <f>+A29</f>
        <v>Cajas componentes y CHINA desde Playa de salida hasta Linea 3. SOLO MAÑANA</v>
      </c>
      <c r="B126" s="367">
        <f>+B29</f>
        <v>4.4594872675526295E-2</v>
      </c>
      <c r="C126" s="369"/>
      <c r="D126" s="369"/>
      <c r="E126" s="732"/>
      <c r="F126" s="732"/>
      <c r="G126" s="732"/>
      <c r="H126" s="732"/>
      <c r="I126" s="732"/>
    </row>
    <row r="127" spans="1:11" ht="15" x14ac:dyDescent="0.4">
      <c r="A127" s="643" t="str">
        <f>+A49</f>
        <v>Coger máquina L2 y llevarla a Calidad</v>
      </c>
      <c r="B127" s="367">
        <f>+B49</f>
        <v>4.1849684132292831E-3</v>
      </c>
      <c r="C127" s="369"/>
      <c r="D127" s="369"/>
      <c r="E127" s="732"/>
      <c r="F127" s="732"/>
      <c r="G127" s="732"/>
      <c r="H127" s="732"/>
      <c r="I127" s="732"/>
    </row>
    <row r="128" spans="1:11" ht="15" x14ac:dyDescent="0.4">
      <c r="A128" s="659" t="str">
        <f>+A46</f>
        <v>Coger máquina de L2/L3 para llevar a montacargas</v>
      </c>
      <c r="B128" s="368">
        <f>+B46</f>
        <v>9.1888412764771471E-2</v>
      </c>
      <c r="C128" s="333"/>
      <c r="D128" s="333"/>
      <c r="E128" s="733"/>
      <c r="F128" s="733"/>
      <c r="G128" s="733"/>
      <c r="H128" s="733"/>
      <c r="I128" s="733"/>
    </row>
    <row r="129" spans="1:11" ht="15" x14ac:dyDescent="0.4">
      <c r="A129" s="282"/>
      <c r="B129" s="372">
        <f>SUM(B117:B128)</f>
        <v>1.6982235222240101</v>
      </c>
      <c r="C129" s="370">
        <v>2</v>
      </c>
      <c r="D129" s="373">
        <f>+B129/C129</f>
        <v>0.84911176111200504</v>
      </c>
      <c r="E129" s="370">
        <f>SUM(E117)</f>
        <v>1</v>
      </c>
      <c r="F129" s="320"/>
      <c r="G129" s="370"/>
      <c r="H129" s="320"/>
      <c r="I129" s="320"/>
    </row>
    <row r="130" spans="1:11" ht="15" x14ac:dyDescent="0.4">
      <c r="A130" s="282"/>
      <c r="B130" s="363"/>
      <c r="C130" s="364"/>
      <c r="D130" s="383"/>
      <c r="E130" s="364"/>
      <c r="F130" s="282"/>
      <c r="G130" s="282"/>
      <c r="H130" s="282"/>
      <c r="I130" s="282"/>
    </row>
    <row r="131" spans="1:11" ht="15" x14ac:dyDescent="0.4">
      <c r="A131" s="475" t="s">
        <v>887</v>
      </c>
      <c r="B131" s="282"/>
      <c r="C131" s="350"/>
      <c r="D131" s="350"/>
      <c r="E131" s="282"/>
    </row>
    <row r="132" spans="1:11" ht="15" x14ac:dyDescent="0.4">
      <c r="A132" s="580" t="str">
        <f>+A32</f>
        <v>Carros secuenciados desde "Sidreria" hasta Linea 1</v>
      </c>
      <c r="B132" s="331">
        <f>+B32</f>
        <v>3.9029092370098395</v>
      </c>
      <c r="C132" s="330"/>
      <c r="D132" s="430"/>
      <c r="E132" s="729"/>
      <c r="F132" s="729"/>
      <c r="G132" s="727">
        <v>3</v>
      </c>
      <c r="H132" s="729"/>
      <c r="I132" s="729"/>
      <c r="K132" s="119" t="s">
        <v>1026</v>
      </c>
    </row>
    <row r="133" spans="1:11" ht="15" x14ac:dyDescent="0.4">
      <c r="A133" s="581" t="str">
        <f>+A33</f>
        <v>Carros secuenciados desde "Sidreria" hasta Linea 2</v>
      </c>
      <c r="B133" s="368">
        <f>+B33</f>
        <v>1.1382546536967024</v>
      </c>
      <c r="C133" s="333"/>
      <c r="D133" s="431"/>
      <c r="E133" s="730"/>
      <c r="F133" s="730"/>
      <c r="G133" s="728"/>
      <c r="H133" s="730"/>
      <c r="I133" s="730"/>
    </row>
    <row r="134" spans="1:11" ht="15" x14ac:dyDescent="0.4">
      <c r="A134" s="282"/>
      <c r="B134" s="415">
        <f>+B132+B133</f>
        <v>5.0411638907065424</v>
      </c>
      <c r="C134" s="417">
        <v>6</v>
      </c>
      <c r="D134" s="697">
        <f>(B132+B133)/C134</f>
        <v>0.84019398178442373</v>
      </c>
      <c r="E134" s="286"/>
      <c r="F134" s="286"/>
      <c r="G134" s="398">
        <f>+G132</f>
        <v>3</v>
      </c>
      <c r="H134" s="286"/>
      <c r="I134" s="286"/>
    </row>
    <row r="135" spans="1:11" ht="15" x14ac:dyDescent="0.4">
      <c r="A135" s="282"/>
      <c r="B135" s="363"/>
      <c r="C135" s="440"/>
      <c r="D135" s="383"/>
      <c r="E135" s="282"/>
      <c r="F135" s="282"/>
      <c r="G135" s="364"/>
      <c r="H135" s="282"/>
      <c r="I135" s="282"/>
    </row>
    <row r="136" spans="1:11" ht="15" x14ac:dyDescent="0.4">
      <c r="A136" s="475" t="s">
        <v>886</v>
      </c>
      <c r="B136" s="363"/>
      <c r="C136" s="440"/>
      <c r="D136" s="383"/>
      <c r="E136" s="282"/>
      <c r="F136" s="282"/>
      <c r="G136" s="364"/>
      <c r="H136" s="282"/>
      <c r="I136" s="282"/>
    </row>
    <row r="137" spans="1:11" ht="15" x14ac:dyDescent="0.4">
      <c r="A137" s="660" t="str">
        <f>+A37</f>
        <v>Suministro MADERA a Premontaje (altas y bajas) L1</v>
      </c>
      <c r="B137" s="331">
        <f>+B37</f>
        <v>0.15632793060200667</v>
      </c>
      <c r="C137" s="717"/>
      <c r="D137" s="717"/>
      <c r="E137" s="720">
        <v>1</v>
      </c>
      <c r="F137" s="717"/>
      <c r="G137" s="717"/>
      <c r="H137" s="720"/>
      <c r="I137" s="717"/>
      <c r="K137" s="119" t="s">
        <v>1022</v>
      </c>
    </row>
    <row r="138" spans="1:11" ht="15" x14ac:dyDescent="0.4">
      <c r="A138" s="661" t="str">
        <f>+A38</f>
        <v>Suministro MADERA a Premontaje (altas y bajas) L2/3</v>
      </c>
      <c r="B138" s="367">
        <f>+B38</f>
        <v>7.4274115384615397E-2</v>
      </c>
      <c r="C138" s="718"/>
      <c r="D138" s="718"/>
      <c r="E138" s="721"/>
      <c r="F138" s="718"/>
      <c r="G138" s="718"/>
      <c r="H138" s="721"/>
      <c r="I138" s="718"/>
      <c r="K138" s="119" t="s">
        <v>1023</v>
      </c>
    </row>
    <row r="139" spans="1:11" ht="15" x14ac:dyDescent="0.4">
      <c r="A139" s="661" t="str">
        <f>+A40</f>
        <v>Suministro armazones bajas desde armazones hasta estanteria exterior</v>
      </c>
      <c r="B139" s="367">
        <f>+B40</f>
        <v>0.12177866963953923</v>
      </c>
      <c r="C139" s="718"/>
      <c r="D139" s="718"/>
      <c r="E139" s="721"/>
      <c r="F139" s="718"/>
      <c r="G139" s="718"/>
      <c r="H139" s="721"/>
      <c r="I139" s="718"/>
    </row>
    <row r="140" spans="1:11" ht="15" x14ac:dyDescent="0.4">
      <c r="A140" s="661" t="str">
        <f>+A41</f>
        <v>Suministro de armazones desde estantería exterior hasta premontaje bajas</v>
      </c>
      <c r="B140" s="367">
        <f>+B41</f>
        <v>0.19164808621330362</v>
      </c>
      <c r="C140" s="718"/>
      <c r="D140" s="718"/>
      <c r="E140" s="721"/>
      <c r="F140" s="718"/>
      <c r="G140" s="718"/>
      <c r="H140" s="721"/>
      <c r="I140" s="718"/>
    </row>
    <row r="141" spans="1:11" ht="15" x14ac:dyDescent="0.4">
      <c r="A141" s="661" t="str">
        <f>+A45</f>
        <v>Producto acabado de Tubos para Santxo y producto terminado</v>
      </c>
      <c r="B141" s="367">
        <f>+B45</f>
        <v>6.612836770717205E-2</v>
      </c>
      <c r="C141" s="718"/>
      <c r="D141" s="718"/>
      <c r="E141" s="721"/>
      <c r="F141" s="718"/>
      <c r="G141" s="718"/>
      <c r="H141" s="721"/>
      <c r="I141" s="718"/>
    </row>
    <row r="142" spans="1:11" ht="15" x14ac:dyDescent="0.4">
      <c r="A142" s="661" t="str">
        <f t="shared" ref="A142:B143" si="5">+A47</f>
        <v>Coger zocalos y KITs y meterlos en ascensor</v>
      </c>
      <c r="B142" s="367">
        <f t="shared" si="5"/>
        <v>3.3698773690078038E-2</v>
      </c>
      <c r="C142" s="718"/>
      <c r="D142" s="718"/>
      <c r="E142" s="721"/>
      <c r="F142" s="718"/>
      <c r="G142" s="718"/>
      <c r="H142" s="721"/>
      <c r="I142" s="718"/>
    </row>
    <row r="143" spans="1:11" ht="15" x14ac:dyDescent="0.4">
      <c r="A143" s="661" t="str">
        <f t="shared" si="5"/>
        <v>Coger máquina de L3 y sacar a la calle</v>
      </c>
      <c r="B143" s="367">
        <f t="shared" si="5"/>
        <v>2.5090254552211071E-2</v>
      </c>
      <c r="C143" s="718"/>
      <c r="D143" s="718"/>
      <c r="E143" s="721"/>
      <c r="F143" s="718"/>
      <c r="G143" s="718"/>
      <c r="H143" s="721"/>
      <c r="I143" s="718"/>
    </row>
    <row r="144" spans="1:11" ht="15" x14ac:dyDescent="0.4">
      <c r="A144" s="661" t="str">
        <f t="shared" ref="A144:B148" si="6">+A57</f>
        <v>Cargar máquinas en el camión</v>
      </c>
      <c r="B144" s="367">
        <f t="shared" si="6"/>
        <v>3.8094946116685242E-2</v>
      </c>
      <c r="C144" s="718"/>
      <c r="D144" s="718"/>
      <c r="E144" s="721"/>
      <c r="F144" s="718"/>
      <c r="G144" s="718"/>
      <c r="H144" s="721"/>
      <c r="I144" s="718"/>
    </row>
    <row r="145" spans="1:10" ht="15" x14ac:dyDescent="0.4">
      <c r="A145" s="661" t="str">
        <f t="shared" si="6"/>
        <v>Recepción material de chapa 2D tamaño grande (no entra en almacén automático) y carga de vacíos chapa</v>
      </c>
      <c r="B145" s="367">
        <f t="shared" si="6"/>
        <v>0.24670139142572445</v>
      </c>
      <c r="C145" s="718"/>
      <c r="D145" s="718"/>
      <c r="E145" s="721"/>
      <c r="F145" s="718"/>
      <c r="G145" s="718"/>
      <c r="H145" s="721"/>
      <c r="I145" s="718"/>
    </row>
    <row r="146" spans="1:10" ht="15" x14ac:dyDescent="0.4">
      <c r="A146" s="661" t="str">
        <f t="shared" si="6"/>
        <v>Devolución componentes rechazados por Calidad</v>
      </c>
      <c r="B146" s="367">
        <f t="shared" si="6"/>
        <v>6.0369147157190634E-2</v>
      </c>
      <c r="C146" s="718"/>
      <c r="D146" s="718"/>
      <c r="E146" s="721"/>
      <c r="F146" s="718"/>
      <c r="G146" s="718"/>
      <c r="H146" s="721"/>
      <c r="I146" s="718"/>
    </row>
    <row r="147" spans="1:10" ht="15" x14ac:dyDescent="0.4">
      <c r="A147" s="661" t="str">
        <f t="shared" si="6"/>
        <v>Tirar chatarra a Residuos</v>
      </c>
      <c r="B147" s="367">
        <f t="shared" si="6"/>
        <v>6.1698950204384991E-2</v>
      </c>
      <c r="C147" s="718"/>
      <c r="D147" s="718"/>
      <c r="E147" s="721"/>
      <c r="F147" s="718"/>
      <c r="G147" s="718"/>
      <c r="H147" s="721"/>
      <c r="I147" s="718"/>
    </row>
    <row r="148" spans="1:10" ht="15" x14ac:dyDescent="0.4">
      <c r="A148" s="661" t="str">
        <f t="shared" si="6"/>
        <v>Coger material del montacargas y dejarlo en Ubicación almacén material 3D interno</v>
      </c>
      <c r="B148" s="367">
        <f t="shared" si="6"/>
        <v>3.5885126347082871E-3</v>
      </c>
      <c r="C148" s="718"/>
      <c r="D148" s="718"/>
      <c r="E148" s="721"/>
      <c r="F148" s="718"/>
      <c r="G148" s="718"/>
      <c r="H148" s="721"/>
      <c r="I148" s="718"/>
    </row>
    <row r="149" spans="1:10" ht="15" x14ac:dyDescent="0.4">
      <c r="A149" s="662" t="str">
        <f>+A64</f>
        <v>Reciclaje del material desechable (cartón)</v>
      </c>
      <c r="B149" s="368">
        <f>+B64</f>
        <v>0.61622682088442959</v>
      </c>
      <c r="C149" s="719"/>
      <c r="D149" s="719"/>
      <c r="E149" s="722"/>
      <c r="F149" s="719"/>
      <c r="G149" s="719"/>
      <c r="H149" s="722"/>
      <c r="I149" s="719"/>
    </row>
    <row r="150" spans="1:10" ht="15" x14ac:dyDescent="0.4">
      <c r="A150" s="473"/>
      <c r="B150" s="415">
        <f>SUM(B137:B149)</f>
        <v>1.6956259662120492</v>
      </c>
      <c r="C150" s="417">
        <f>+C51</f>
        <v>2</v>
      </c>
      <c r="D150" s="401">
        <f>(B150)/C150</f>
        <v>0.8478129831060246</v>
      </c>
      <c r="E150" s="663">
        <f>SUM(E137)</f>
        <v>1</v>
      </c>
      <c r="F150" s="286"/>
      <c r="G150" s="398"/>
      <c r="H150" s="417"/>
      <c r="I150" s="286"/>
    </row>
    <row r="151" spans="1:10" ht="15" x14ac:dyDescent="0.4">
      <c r="A151" s="473"/>
      <c r="B151" s="363"/>
      <c r="C151" s="440"/>
      <c r="D151" s="383"/>
      <c r="E151" s="665"/>
      <c r="F151" s="282"/>
      <c r="G151" s="364"/>
      <c r="H151" s="440"/>
      <c r="I151" s="282"/>
    </row>
    <row r="152" spans="1:10" ht="15" x14ac:dyDescent="0.4">
      <c r="A152" s="670" t="str">
        <f>+A63</f>
        <v>Inventario</v>
      </c>
      <c r="B152" s="448">
        <f>+B63</f>
        <v>1</v>
      </c>
      <c r="C152" s="441">
        <v>1</v>
      </c>
      <c r="D152" s="373"/>
      <c r="E152" s="428"/>
      <c r="F152" s="320"/>
      <c r="G152" s="370"/>
      <c r="H152" s="441"/>
      <c r="I152" s="320"/>
    </row>
    <row r="153" spans="1:10" ht="15" x14ac:dyDescent="0.4">
      <c r="A153" s="282"/>
      <c r="B153" s="363"/>
      <c r="C153" s="440"/>
      <c r="D153" s="383"/>
      <c r="E153" s="282"/>
      <c r="F153" s="282"/>
      <c r="G153" s="364"/>
      <c r="H153" s="282"/>
      <c r="I153" s="282"/>
    </row>
    <row r="154" spans="1:10" ht="20.45" customHeight="1" x14ac:dyDescent="0.5">
      <c r="A154" s="442" t="s">
        <v>736</v>
      </c>
      <c r="B154" s="757">
        <f>SUM(C73:C153)</f>
        <v>27</v>
      </c>
      <c r="C154" s="758"/>
      <c r="D154" s="759"/>
      <c r="E154" s="435">
        <f>+E150+E134+E129+E113+E106+E100+E93+E83+E79</f>
        <v>4</v>
      </c>
      <c r="F154" s="435">
        <f>+F150+F134+F129+F113+F106+F100+F93+F83+F79</f>
        <v>2</v>
      </c>
      <c r="G154" s="435">
        <f>+G150+G134+G129+G113+G106+G100+G93+G83+G79</f>
        <v>3</v>
      </c>
      <c r="H154" s="435">
        <f>+H150+H134+H129+H113+H106+H100+H93+H83+H79</f>
        <v>1</v>
      </c>
      <c r="I154" s="435">
        <f>+I150+I134+I129+I113+I106+I100+I93+I83+I79</f>
        <v>2</v>
      </c>
      <c r="J154" s="664">
        <f>SUM(E154:I154)</f>
        <v>12</v>
      </c>
    </row>
    <row r="155" spans="1:10" ht="15" x14ac:dyDescent="0.4">
      <c r="A155" s="282"/>
      <c r="B155" s="282"/>
      <c r="C155" s="350"/>
      <c r="D155" s="350"/>
      <c r="E155" s="282"/>
    </row>
    <row r="156" spans="1:10" x14ac:dyDescent="0.35">
      <c r="C156" s="361" t="str">
        <f>IF(B154=C66,"Ok","NOK")</f>
        <v>Ok</v>
      </c>
      <c r="D156" s="361"/>
      <c r="E156" s="361" t="str">
        <f>IF((+E154+F154+G154+H154+I154)=T66,"Ok","NOK")</f>
        <v>Ok</v>
      </c>
    </row>
    <row r="157" spans="1:10" x14ac:dyDescent="0.35">
      <c r="C157" s="361"/>
      <c r="D157" s="361"/>
    </row>
    <row r="158" spans="1:10" ht="15" x14ac:dyDescent="0.4">
      <c r="A158" s="320" t="s">
        <v>852</v>
      </c>
      <c r="B158" s="372"/>
      <c r="C158" s="441"/>
      <c r="D158" s="373"/>
      <c r="E158" s="320"/>
      <c r="F158" s="320"/>
      <c r="G158" s="370"/>
      <c r="H158" s="320"/>
      <c r="I158" s="320"/>
    </row>
    <row r="159" spans="1:10" ht="19.149999999999999" customHeight="1" x14ac:dyDescent="0.35"/>
    <row r="160" spans="1:10" ht="20.45" customHeight="1" x14ac:dyDescent="0.5">
      <c r="A160" s="416" t="s">
        <v>736</v>
      </c>
      <c r="B160" s="757">
        <f>SUM(C79:C159)</f>
        <v>27</v>
      </c>
      <c r="C160" s="758"/>
      <c r="D160" s="759"/>
      <c r="E160" s="435">
        <f>+E154+E158</f>
        <v>4</v>
      </c>
      <c r="F160" s="435">
        <f t="shared" ref="F160:I160" si="7">+F154+F158</f>
        <v>2</v>
      </c>
      <c r="G160" s="435">
        <f t="shared" si="7"/>
        <v>3</v>
      </c>
      <c r="H160" s="435">
        <f t="shared" si="7"/>
        <v>1</v>
      </c>
      <c r="I160" s="435">
        <f t="shared" si="7"/>
        <v>2</v>
      </c>
    </row>
  </sheetData>
  <mergeCells count="52">
    <mergeCell ref="I70:I71"/>
    <mergeCell ref="B3:D4"/>
    <mergeCell ref="E3:S3"/>
    <mergeCell ref="E4:G4"/>
    <mergeCell ref="H4:J4"/>
    <mergeCell ref="K4:M4"/>
    <mergeCell ref="N4:P4"/>
    <mergeCell ref="Q4:S4"/>
    <mergeCell ref="B70:D70"/>
    <mergeCell ref="E70:E71"/>
    <mergeCell ref="F70:F71"/>
    <mergeCell ref="G70:G71"/>
    <mergeCell ref="H70:H71"/>
    <mergeCell ref="E86:E92"/>
    <mergeCell ref="F86:F92"/>
    <mergeCell ref="G86:G92"/>
    <mergeCell ref="H86:H92"/>
    <mergeCell ref="I86:I92"/>
    <mergeCell ref="E73:E78"/>
    <mergeCell ref="F73:F78"/>
    <mergeCell ref="G73:G78"/>
    <mergeCell ref="H73:H78"/>
    <mergeCell ref="I73:I78"/>
    <mergeCell ref="E109:E112"/>
    <mergeCell ref="F109:F112"/>
    <mergeCell ref="G109:G112"/>
    <mergeCell ref="H109:H112"/>
    <mergeCell ref="I109:I112"/>
    <mergeCell ref="E96:E99"/>
    <mergeCell ref="F96:F99"/>
    <mergeCell ref="G96:G99"/>
    <mergeCell ref="H96:H99"/>
    <mergeCell ref="I96:I99"/>
    <mergeCell ref="E132:E133"/>
    <mergeCell ref="F132:F133"/>
    <mergeCell ref="G132:G133"/>
    <mergeCell ref="H132:H133"/>
    <mergeCell ref="I132:I133"/>
    <mergeCell ref="E117:E128"/>
    <mergeCell ref="F117:F128"/>
    <mergeCell ref="G117:G128"/>
    <mergeCell ref="H117:H128"/>
    <mergeCell ref="I117:I128"/>
    <mergeCell ref="I137:I149"/>
    <mergeCell ref="B154:D154"/>
    <mergeCell ref="B160:D160"/>
    <mergeCell ref="C137:C149"/>
    <mergeCell ref="D137:D149"/>
    <mergeCell ref="E137:E149"/>
    <mergeCell ref="F137:F149"/>
    <mergeCell ref="G137:G149"/>
    <mergeCell ref="H137:H149"/>
  </mergeCells>
  <pageMargins left="0.51181102362204722" right="0.31496062992125984" top="0.55118110236220474" bottom="0.55118110236220474" header="0.31496062992125984" footer="0.31496062992125984"/>
  <pageSetup paperSize="9" scale="42" orientation="landscape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244EB-AD41-4C6D-B01E-74DF6E2F1615}">
  <dimension ref="A4:B15"/>
  <sheetViews>
    <sheetView workbookViewId="0">
      <selection activeCell="B17" sqref="B17"/>
    </sheetView>
  </sheetViews>
  <sheetFormatPr baseColWidth="10" defaultRowHeight="14.25" x14ac:dyDescent="0.45"/>
  <cols>
    <col min="1" max="1" width="63.3984375" customWidth="1"/>
    <col min="2" max="2" width="59.73046875" customWidth="1"/>
  </cols>
  <sheetData>
    <row r="4" spans="1:2" x14ac:dyDescent="0.45">
      <c r="A4" s="698" t="s">
        <v>416</v>
      </c>
      <c r="B4" s="698" t="s">
        <v>1018</v>
      </c>
    </row>
    <row r="5" spans="1:2" x14ac:dyDescent="0.45">
      <c r="A5" s="699"/>
      <c r="B5" s="699" t="s">
        <v>1027</v>
      </c>
    </row>
    <row r="6" spans="1:2" x14ac:dyDescent="0.45">
      <c r="A6" s="700" t="s">
        <v>554</v>
      </c>
      <c r="B6" s="700" t="s">
        <v>1019</v>
      </c>
    </row>
    <row r="7" spans="1:2" x14ac:dyDescent="0.45">
      <c r="A7" s="700" t="s">
        <v>555</v>
      </c>
      <c r="B7" s="700" t="s">
        <v>1020</v>
      </c>
    </row>
    <row r="8" spans="1:2" x14ac:dyDescent="0.45">
      <c r="A8" s="698" t="s">
        <v>1009</v>
      </c>
      <c r="B8" s="698" t="s">
        <v>1021</v>
      </c>
    </row>
    <row r="9" spans="1:2" x14ac:dyDescent="0.45">
      <c r="A9" s="699"/>
      <c r="B9" s="699" t="s">
        <v>1023</v>
      </c>
    </row>
    <row r="10" spans="1:2" x14ac:dyDescent="0.45">
      <c r="A10" s="698" t="s">
        <v>487</v>
      </c>
      <c r="B10" s="698" t="s">
        <v>1021</v>
      </c>
    </row>
    <row r="11" spans="1:2" x14ac:dyDescent="0.45">
      <c r="A11" s="699"/>
      <c r="B11" s="699" t="s">
        <v>1023</v>
      </c>
    </row>
    <row r="12" spans="1:2" x14ac:dyDescent="0.45">
      <c r="A12" s="700" t="s">
        <v>1013</v>
      </c>
      <c r="B12" s="700" t="s">
        <v>1025</v>
      </c>
    </row>
    <row r="13" spans="1:2" x14ac:dyDescent="0.45">
      <c r="A13" s="700" t="s">
        <v>887</v>
      </c>
      <c r="B13" s="700" t="s">
        <v>1026</v>
      </c>
    </row>
    <row r="14" spans="1:2" x14ac:dyDescent="0.45">
      <c r="A14" s="698" t="s">
        <v>886</v>
      </c>
      <c r="B14" s="698" t="s">
        <v>1022</v>
      </c>
    </row>
    <row r="15" spans="1:2" x14ac:dyDescent="0.45">
      <c r="A15" s="699"/>
      <c r="B15" s="699" t="s">
        <v>1023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Hipótesis</vt:lpstr>
      <vt:lpstr>Tiempos</vt:lpstr>
      <vt:lpstr>Volumenes</vt:lpstr>
      <vt:lpstr>PROCESOS Baja</vt:lpstr>
      <vt:lpstr>PROCESOS Alta</vt:lpstr>
      <vt:lpstr>Cuadro Resumen Baja</vt:lpstr>
      <vt:lpstr>Cuadro Resumen Alta</vt:lpstr>
      <vt:lpstr>Hoja1</vt:lpstr>
      <vt:lpstr>'PROCESOS Alta'!Área_de_impresión</vt:lpstr>
      <vt:lpstr>'PROCESOS Baja'!Área_de_impresión</vt:lpstr>
      <vt:lpstr>Volumenes!Área_de_impresión</vt:lpstr>
      <vt:lpstr>Volumenes!Títulos_a_imprimir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Ruiz Ugarte</dc:creator>
  <cp:lastModifiedBy>Ivan Navarro</cp:lastModifiedBy>
  <cp:lastPrinted>2024-06-26T13:58:26Z</cp:lastPrinted>
  <dcterms:created xsi:type="dcterms:W3CDTF">2020-05-18T10:48:06Z</dcterms:created>
  <dcterms:modified xsi:type="dcterms:W3CDTF">2025-10-09T13:43:43Z</dcterms:modified>
</cp:coreProperties>
</file>